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Y:\OVS\pbroyles\eyesweb\Dept\ResInfo\"/>
    </mc:Choice>
  </mc:AlternateContent>
  <xr:revisionPtr revIDLastSave="0" documentId="13_ncr:1_{B91C9A96-7EE0-4379-9C17-1EFAF7C88B9D}" xr6:coauthVersionLast="47" xr6:coauthVersionMax="47" xr10:uidLastSave="{00000000-0000-0000-0000-000000000000}"/>
  <bookViews>
    <workbookView xWindow="60" yWindow="60" windowWidth="13764" windowHeight="12336" tabRatio="860" firstSheet="7" activeTab="10" xr2:uid="{00000000-000D-0000-FFFF-FFFF00000000}"/>
  </bookViews>
  <sheets>
    <sheet name="July 2025" sheetId="1" r:id="rId1"/>
    <sheet name="August 2025" sheetId="2" r:id="rId2"/>
    <sheet name="September 2025" sheetId="3" r:id="rId3"/>
    <sheet name="October 2025" sheetId="4" r:id="rId4"/>
    <sheet name="November 2025" sheetId="5" r:id="rId5"/>
    <sheet name="December 2025" sheetId="6" r:id="rId6"/>
    <sheet name="January 2026" sheetId="8" r:id="rId7"/>
    <sheet name="February 2026" sheetId="9" r:id="rId8"/>
    <sheet name="March 2026" sheetId="10" r:id="rId9"/>
    <sheet name="April 2026" sheetId="11" r:id="rId10"/>
    <sheet name="May 2026" sheetId="12" r:id="rId11"/>
    <sheet name="June 2026" sheetId="13" r:id="rId12"/>
  </sheets>
  <definedNames>
    <definedName name="_xlnm.Print_Area" localSheetId="9">'April 2026'!$B$1:$H$52</definedName>
    <definedName name="_xlnm.Print_Area" localSheetId="1">'August 2025'!$A$1:$H$63</definedName>
    <definedName name="_xlnm.Print_Area" localSheetId="5">'December 2025'!$A$1:$H$61</definedName>
    <definedName name="_xlnm.Print_Area" localSheetId="7">'February 2026'!$A$1:$H$45</definedName>
    <definedName name="_xlnm.Print_Area" localSheetId="6">'January 2026'!$A$1:$H$52</definedName>
    <definedName name="_xlnm.Print_Area" localSheetId="0">'July 2025'!$A$1:$H$48</definedName>
    <definedName name="_xlnm.Print_Area" localSheetId="11">'June 2026'!$A$1:$H$50</definedName>
    <definedName name="_xlnm.Print_Area" localSheetId="8">'March 2026'!$A$1:$H$55</definedName>
    <definedName name="_xlnm.Print_Area" localSheetId="10">'May 2026'!$A$1:$H$66</definedName>
    <definedName name="_xlnm.Print_Area" localSheetId="4">'November 2025'!$A$1:$H$65</definedName>
    <definedName name="_xlnm.Print_Area" localSheetId="3">'October 2025'!$A$1:$H$62</definedName>
    <definedName name="_xlnm.Print_Area" localSheetId="2">'September 2025'!$A$1:$H$55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13" l="1"/>
  <c r="H82" i="13"/>
  <c r="H81" i="13"/>
  <c r="H80" i="13"/>
  <c r="H79" i="13"/>
  <c r="H78" i="13"/>
  <c r="H77" i="13"/>
  <c r="H76" i="13"/>
  <c r="J68" i="13"/>
  <c r="C68" i="13"/>
  <c r="D68" i="13" s="1"/>
  <c r="J67" i="13"/>
  <c r="C67" i="13"/>
  <c r="D67" i="13" s="1"/>
  <c r="J66" i="13"/>
  <c r="C66" i="13"/>
  <c r="D66" i="13" s="1"/>
  <c r="J65" i="13"/>
  <c r="C65" i="13"/>
  <c r="D65" i="13" s="1"/>
  <c r="L62" i="13"/>
  <c r="K62" i="13"/>
  <c r="F62" i="13"/>
  <c r="E62" i="13"/>
  <c r="B62" i="13"/>
  <c r="M61" i="13"/>
  <c r="I61" i="13"/>
  <c r="J61" i="13" s="1"/>
  <c r="G61" i="13"/>
  <c r="C61" i="13"/>
  <c r="D61" i="13" s="1"/>
  <c r="M60" i="13"/>
  <c r="I60" i="13"/>
  <c r="J60" i="13" s="1"/>
  <c r="G60" i="13"/>
  <c r="C60" i="13"/>
  <c r="D60" i="13" s="1"/>
  <c r="M59" i="13"/>
  <c r="I59" i="13"/>
  <c r="J59" i="13" s="1"/>
  <c r="G59" i="13"/>
  <c r="C59" i="13"/>
  <c r="D59" i="13" s="1"/>
  <c r="M58" i="13"/>
  <c r="I58" i="13"/>
  <c r="J58" i="13" s="1"/>
  <c r="G58" i="13"/>
  <c r="C58" i="13"/>
  <c r="D58" i="13" s="1"/>
  <c r="M57" i="13"/>
  <c r="I57" i="13"/>
  <c r="J57" i="13" s="1"/>
  <c r="G57" i="13"/>
  <c r="C57" i="13"/>
  <c r="D57" i="13" s="1"/>
  <c r="M56" i="13"/>
  <c r="I56" i="13"/>
  <c r="J56" i="13" s="1"/>
  <c r="G56" i="13"/>
  <c r="C56" i="13"/>
  <c r="D56" i="13" s="1"/>
  <c r="M55" i="13"/>
  <c r="I55" i="13"/>
  <c r="J55" i="13" s="1"/>
  <c r="G55" i="13"/>
  <c r="C55" i="13"/>
  <c r="D55" i="13" s="1"/>
  <c r="M54" i="13"/>
  <c r="I54" i="13"/>
  <c r="G54" i="13"/>
  <c r="C54" i="13"/>
  <c r="H96" i="12"/>
  <c r="H95" i="12"/>
  <c r="H94" i="12"/>
  <c r="H93" i="12"/>
  <c r="H92" i="12"/>
  <c r="H91" i="12"/>
  <c r="H90" i="12"/>
  <c r="H89" i="12"/>
  <c r="J85" i="12"/>
  <c r="C85" i="12"/>
  <c r="D85" i="12" s="1"/>
  <c r="J84" i="12"/>
  <c r="C84" i="12"/>
  <c r="D84" i="12" s="1"/>
  <c r="J83" i="12"/>
  <c r="C83" i="12"/>
  <c r="D83" i="12" s="1"/>
  <c r="J82" i="12"/>
  <c r="C82" i="12"/>
  <c r="D82" i="12" s="1"/>
  <c r="L79" i="12"/>
  <c r="K79" i="12"/>
  <c r="H79" i="12"/>
  <c r="F79" i="12"/>
  <c r="E79" i="12"/>
  <c r="B79" i="12"/>
  <c r="M78" i="12"/>
  <c r="I78" i="12"/>
  <c r="J78" i="12" s="1"/>
  <c r="G78" i="12"/>
  <c r="C78" i="12"/>
  <c r="D78" i="12" s="1"/>
  <c r="M77" i="12"/>
  <c r="I77" i="12"/>
  <c r="J77" i="12" s="1"/>
  <c r="G77" i="12"/>
  <c r="C77" i="12"/>
  <c r="D77" i="12" s="1"/>
  <c r="M76" i="12"/>
  <c r="I76" i="12"/>
  <c r="J76" i="12" s="1"/>
  <c r="G76" i="12"/>
  <c r="C76" i="12"/>
  <c r="D76" i="12" s="1"/>
  <c r="M75" i="12"/>
  <c r="I75" i="12"/>
  <c r="J75" i="12" s="1"/>
  <c r="G75" i="12"/>
  <c r="C75" i="12"/>
  <c r="D75" i="12" s="1"/>
  <c r="M74" i="12"/>
  <c r="I74" i="12"/>
  <c r="J74" i="12" s="1"/>
  <c r="G74" i="12"/>
  <c r="C74" i="12"/>
  <c r="D74" i="12" s="1"/>
  <c r="M73" i="12"/>
  <c r="I73" i="12"/>
  <c r="J73" i="12" s="1"/>
  <c r="G73" i="12"/>
  <c r="C73" i="12"/>
  <c r="D73" i="12" s="1"/>
  <c r="M72" i="12"/>
  <c r="I72" i="12"/>
  <c r="J72" i="12" s="1"/>
  <c r="G72" i="12"/>
  <c r="C72" i="12"/>
  <c r="D72" i="12" s="1"/>
  <c r="M71" i="12"/>
  <c r="I71" i="12"/>
  <c r="J71" i="12" s="1"/>
  <c r="G71" i="12"/>
  <c r="C71" i="12"/>
  <c r="D71" i="12" s="1"/>
  <c r="H81" i="11"/>
  <c r="H80" i="11"/>
  <c r="H79" i="11"/>
  <c r="H78" i="11"/>
  <c r="H77" i="11"/>
  <c r="H76" i="11"/>
  <c r="H75" i="11"/>
  <c r="H74" i="11"/>
  <c r="J70" i="11"/>
  <c r="C70" i="11"/>
  <c r="D70" i="11" s="1"/>
  <c r="J69" i="11"/>
  <c r="C69" i="11"/>
  <c r="D69" i="11" s="1"/>
  <c r="J68" i="11"/>
  <c r="C68" i="11"/>
  <c r="D68" i="11" s="1"/>
  <c r="J67" i="11"/>
  <c r="C67" i="11"/>
  <c r="D67" i="11" s="1"/>
  <c r="L64" i="11"/>
  <c r="K64" i="11"/>
  <c r="H64" i="11"/>
  <c r="F64" i="11"/>
  <c r="E64" i="11"/>
  <c r="B64" i="11"/>
  <c r="M63" i="11"/>
  <c r="I63" i="11"/>
  <c r="J63" i="11" s="1"/>
  <c r="G63" i="11"/>
  <c r="C63" i="11"/>
  <c r="D63" i="11" s="1"/>
  <c r="M62" i="11"/>
  <c r="I62" i="11"/>
  <c r="J62" i="11" s="1"/>
  <c r="G62" i="11"/>
  <c r="C62" i="11"/>
  <c r="D62" i="11" s="1"/>
  <c r="M61" i="11"/>
  <c r="I61" i="11"/>
  <c r="J61" i="11" s="1"/>
  <c r="G61" i="11"/>
  <c r="C61" i="11"/>
  <c r="D61" i="11" s="1"/>
  <c r="M60" i="11"/>
  <c r="I60" i="11"/>
  <c r="J60" i="11" s="1"/>
  <c r="G60" i="11"/>
  <c r="C60" i="11"/>
  <c r="D60" i="11" s="1"/>
  <c r="M59" i="11"/>
  <c r="I59" i="11"/>
  <c r="J59" i="11" s="1"/>
  <c r="G59" i="11"/>
  <c r="C59" i="11"/>
  <c r="D59" i="11" s="1"/>
  <c r="M58" i="11"/>
  <c r="I58" i="11"/>
  <c r="J58" i="11" s="1"/>
  <c r="G58" i="11"/>
  <c r="C58" i="11"/>
  <c r="D58" i="11" s="1"/>
  <c r="M57" i="11"/>
  <c r="I57" i="11"/>
  <c r="J57" i="11" s="1"/>
  <c r="G57" i="11"/>
  <c r="C57" i="11"/>
  <c r="D57" i="11" s="1"/>
  <c r="M56" i="11"/>
  <c r="I56" i="11"/>
  <c r="G56" i="11"/>
  <c r="C56" i="11"/>
  <c r="H83" i="10"/>
  <c r="H82" i="10"/>
  <c r="H81" i="10"/>
  <c r="H80" i="10"/>
  <c r="H79" i="10"/>
  <c r="H78" i="10"/>
  <c r="H77" i="10"/>
  <c r="H76" i="10"/>
  <c r="J72" i="10"/>
  <c r="C72" i="10"/>
  <c r="D72" i="10" s="1"/>
  <c r="J71" i="10"/>
  <c r="C71" i="10"/>
  <c r="D71" i="10" s="1"/>
  <c r="J70" i="10"/>
  <c r="C70" i="10"/>
  <c r="D70" i="10" s="1"/>
  <c r="J69" i="10"/>
  <c r="C69" i="10"/>
  <c r="D69" i="10" s="1"/>
  <c r="L66" i="10"/>
  <c r="K66" i="10"/>
  <c r="H66" i="10"/>
  <c r="F66" i="10"/>
  <c r="E66" i="10"/>
  <c r="B66" i="10"/>
  <c r="M65" i="10"/>
  <c r="I65" i="10"/>
  <c r="J65" i="10" s="1"/>
  <c r="G65" i="10"/>
  <c r="C65" i="10"/>
  <c r="D65" i="10" s="1"/>
  <c r="M64" i="10"/>
  <c r="I64" i="10"/>
  <c r="J64" i="10" s="1"/>
  <c r="G64" i="10"/>
  <c r="C64" i="10"/>
  <c r="D64" i="10" s="1"/>
  <c r="M63" i="10"/>
  <c r="I63" i="10"/>
  <c r="J63" i="10" s="1"/>
  <c r="G63" i="10"/>
  <c r="C63" i="10"/>
  <c r="D63" i="10" s="1"/>
  <c r="M62" i="10"/>
  <c r="I62" i="10"/>
  <c r="J62" i="10" s="1"/>
  <c r="G62" i="10"/>
  <c r="C62" i="10"/>
  <c r="D62" i="10" s="1"/>
  <c r="M61" i="10"/>
  <c r="I61" i="10"/>
  <c r="J61" i="10" s="1"/>
  <c r="G61" i="10"/>
  <c r="C61" i="10"/>
  <c r="D61" i="10" s="1"/>
  <c r="M60" i="10"/>
  <c r="I60" i="10"/>
  <c r="J60" i="10" s="1"/>
  <c r="G60" i="10"/>
  <c r="C60" i="10"/>
  <c r="D60" i="10" s="1"/>
  <c r="M59" i="10"/>
  <c r="I59" i="10"/>
  <c r="J59" i="10" s="1"/>
  <c r="G59" i="10"/>
  <c r="C59" i="10"/>
  <c r="D59" i="10" s="1"/>
  <c r="M58" i="10"/>
  <c r="I58" i="10"/>
  <c r="J58" i="10" s="1"/>
  <c r="G58" i="10"/>
  <c r="C58" i="10"/>
  <c r="H73" i="9"/>
  <c r="H72" i="9"/>
  <c r="H71" i="9"/>
  <c r="H70" i="9"/>
  <c r="H69" i="9"/>
  <c r="H68" i="9"/>
  <c r="H67" i="9"/>
  <c r="H66" i="9"/>
  <c r="J62" i="9"/>
  <c r="C62" i="9"/>
  <c r="D62" i="9" s="1"/>
  <c r="J61" i="9"/>
  <c r="C61" i="9"/>
  <c r="D61" i="9" s="1"/>
  <c r="J60" i="9"/>
  <c r="C60" i="9"/>
  <c r="D60" i="9" s="1"/>
  <c r="J59" i="9"/>
  <c r="C59" i="9"/>
  <c r="D59" i="9" s="1"/>
  <c r="L56" i="9"/>
  <c r="K56" i="9"/>
  <c r="I56" i="9"/>
  <c r="H56" i="9"/>
  <c r="F56" i="9"/>
  <c r="E56" i="9"/>
  <c r="B56" i="9"/>
  <c r="M55" i="9"/>
  <c r="J55" i="9"/>
  <c r="G55" i="9"/>
  <c r="C55" i="9"/>
  <c r="D55" i="9" s="1"/>
  <c r="M54" i="9"/>
  <c r="J54" i="9"/>
  <c r="G54" i="9"/>
  <c r="C54" i="9"/>
  <c r="D54" i="9" s="1"/>
  <c r="M53" i="9"/>
  <c r="J53" i="9"/>
  <c r="G53" i="9"/>
  <c r="C53" i="9"/>
  <c r="D53" i="9" s="1"/>
  <c r="M52" i="9"/>
  <c r="J52" i="9"/>
  <c r="G52" i="9"/>
  <c r="D52" i="9"/>
  <c r="M51" i="9"/>
  <c r="J51" i="9"/>
  <c r="G51" i="9"/>
  <c r="C51" i="9"/>
  <c r="D51" i="9" s="1"/>
  <c r="M50" i="9"/>
  <c r="J50" i="9"/>
  <c r="G50" i="9"/>
  <c r="C50" i="9"/>
  <c r="D50" i="9" s="1"/>
  <c r="M49" i="9"/>
  <c r="J49" i="9"/>
  <c r="G49" i="9"/>
  <c r="C49" i="9"/>
  <c r="D49" i="9" s="1"/>
  <c r="M48" i="9"/>
  <c r="J48" i="9"/>
  <c r="G48" i="9"/>
  <c r="C48" i="9"/>
  <c r="D48" i="9" s="1"/>
  <c r="J72" i="8"/>
  <c r="D72" i="8"/>
  <c r="J71" i="8"/>
  <c r="D71" i="8"/>
  <c r="J70" i="8"/>
  <c r="D70" i="8"/>
  <c r="J69" i="8"/>
  <c r="D69" i="8"/>
  <c r="L66" i="8"/>
  <c r="K66" i="8"/>
  <c r="I66" i="8"/>
  <c r="H66" i="8"/>
  <c r="F66" i="8"/>
  <c r="E66" i="8"/>
  <c r="C66" i="8"/>
  <c r="B66" i="8"/>
  <c r="M65" i="8"/>
  <c r="J65" i="8"/>
  <c r="G65" i="8"/>
  <c r="D65" i="8"/>
  <c r="M64" i="8"/>
  <c r="J64" i="8"/>
  <c r="G64" i="8"/>
  <c r="D64" i="8"/>
  <c r="M63" i="8"/>
  <c r="J63" i="8"/>
  <c r="G63" i="8"/>
  <c r="D63" i="8"/>
  <c r="M62" i="8"/>
  <c r="J62" i="8"/>
  <c r="G62" i="8"/>
  <c r="D62" i="8"/>
  <c r="M61" i="8"/>
  <c r="J61" i="8"/>
  <c r="G61" i="8"/>
  <c r="D61" i="8"/>
  <c r="M60" i="8"/>
  <c r="J60" i="8"/>
  <c r="G60" i="8"/>
  <c r="D60" i="8"/>
  <c r="M59" i="8"/>
  <c r="J59" i="8"/>
  <c r="G59" i="8"/>
  <c r="D59" i="8"/>
  <c r="M58" i="8"/>
  <c r="J58" i="8"/>
  <c r="G58" i="8"/>
  <c r="D58" i="8"/>
  <c r="O4" i="4"/>
  <c r="O3" i="4"/>
  <c r="O2" i="4"/>
  <c r="O8" i="4"/>
  <c r="O9" i="4"/>
  <c r="N60" i="13" l="1"/>
  <c r="N57" i="13"/>
  <c r="N61" i="13"/>
  <c r="N55" i="13"/>
  <c r="N59" i="13"/>
  <c r="C62" i="13"/>
  <c r="G62" i="13"/>
  <c r="D54" i="13"/>
  <c r="I62" i="13"/>
  <c r="J54" i="13"/>
  <c r="J62" i="13" s="1"/>
  <c r="M62" i="13"/>
  <c r="N56" i="13"/>
  <c r="N58" i="13"/>
  <c r="G79" i="12"/>
  <c r="M79" i="12"/>
  <c r="C79" i="12"/>
  <c r="D79" i="12"/>
  <c r="J79" i="12"/>
  <c r="I79" i="12"/>
  <c r="C64" i="11"/>
  <c r="D56" i="11"/>
  <c r="D64" i="11" s="1"/>
  <c r="G64" i="11"/>
  <c r="M64" i="11"/>
  <c r="I64" i="11"/>
  <c r="J56" i="11"/>
  <c r="J64" i="11" s="1"/>
  <c r="C66" i="10"/>
  <c r="G66" i="10"/>
  <c r="M66" i="10"/>
  <c r="J66" i="10"/>
  <c r="D58" i="10"/>
  <c r="D66" i="10" s="1"/>
  <c r="I66" i="10"/>
  <c r="G56" i="9"/>
  <c r="J56" i="9"/>
  <c r="M56" i="9"/>
  <c r="D56" i="9"/>
  <c r="C56" i="9"/>
  <c r="P56" i="9" s="1"/>
  <c r="P66" i="8"/>
  <c r="D66" i="8"/>
  <c r="J66" i="8"/>
  <c r="G66" i="8"/>
  <c r="M66" i="8"/>
  <c r="O13" i="2"/>
  <c r="AB13" i="1"/>
  <c r="P19" i="6"/>
  <c r="P18" i="6"/>
  <c r="P17" i="6"/>
  <c r="P16" i="6"/>
  <c r="O19" i="6"/>
  <c r="O18" i="6"/>
  <c r="O17" i="6"/>
  <c r="O16" i="6"/>
  <c r="P15" i="5"/>
  <c r="P14" i="5"/>
  <c r="P13" i="5"/>
  <c r="P12" i="5"/>
  <c r="O15" i="5"/>
  <c r="O14" i="5"/>
  <c r="O13" i="5"/>
  <c r="O12" i="5"/>
  <c r="P13" i="4"/>
  <c r="P15" i="4"/>
  <c r="P14" i="4"/>
  <c r="P12" i="4"/>
  <c r="O15" i="4"/>
  <c r="O14" i="4"/>
  <c r="O13" i="4"/>
  <c r="O12" i="4"/>
  <c r="P15" i="3"/>
  <c r="P14" i="3"/>
  <c r="P13" i="3"/>
  <c r="P12" i="3"/>
  <c r="O14" i="3"/>
  <c r="O13" i="3"/>
  <c r="O15" i="3"/>
  <c r="O12" i="3"/>
  <c r="P14" i="2"/>
  <c r="P15" i="2"/>
  <c r="P13" i="2"/>
  <c r="P12" i="2"/>
  <c r="O15" i="2"/>
  <c r="O14" i="2"/>
  <c r="O12" i="2"/>
  <c r="AC15" i="1"/>
  <c r="AC14" i="1"/>
  <c r="AC13" i="1"/>
  <c r="AC12" i="1"/>
  <c r="AB15" i="1"/>
  <c r="AB14" i="1"/>
  <c r="AB12" i="1"/>
  <c r="O11" i="6"/>
  <c r="O8" i="6"/>
  <c r="O2" i="6"/>
  <c r="O3" i="6"/>
  <c r="O5" i="6"/>
  <c r="O10" i="6"/>
  <c r="O7" i="6"/>
  <c r="O4" i="6"/>
  <c r="P11" i="6"/>
  <c r="P10" i="6"/>
  <c r="P8" i="6"/>
  <c r="P7" i="6"/>
  <c r="P5" i="6"/>
  <c r="P4" i="6"/>
  <c r="P3" i="6"/>
  <c r="P2" i="6"/>
  <c r="O10" i="5"/>
  <c r="O9" i="5"/>
  <c r="O8" i="5"/>
  <c r="O7" i="5"/>
  <c r="O2" i="5"/>
  <c r="P10" i="5"/>
  <c r="P9" i="5"/>
  <c r="P8" i="5"/>
  <c r="P7" i="5"/>
  <c r="P5" i="5"/>
  <c r="P4" i="5"/>
  <c r="P3" i="5"/>
  <c r="P2" i="5"/>
  <c r="O4" i="5"/>
  <c r="O5" i="5"/>
  <c r="O3" i="5"/>
  <c r="O5" i="4"/>
  <c r="P7" i="4"/>
  <c r="O7" i="4"/>
  <c r="P10" i="4"/>
  <c r="O10" i="4"/>
  <c r="P9" i="4"/>
  <c r="P8" i="4"/>
  <c r="P5" i="4"/>
  <c r="P4" i="4"/>
  <c r="P3" i="4"/>
  <c r="P2" i="4"/>
  <c r="P10" i="3"/>
  <c r="P9" i="3"/>
  <c r="P8" i="3"/>
  <c r="P7" i="3"/>
  <c r="P5" i="3"/>
  <c r="P4" i="3"/>
  <c r="P3" i="3"/>
  <c r="P2" i="3"/>
  <c r="O10" i="3"/>
  <c r="O7" i="3"/>
  <c r="O5" i="3"/>
  <c r="O3" i="3"/>
  <c r="O2" i="3"/>
  <c r="O8" i="3"/>
  <c r="O4" i="3"/>
  <c r="O9" i="3"/>
  <c r="O9" i="2"/>
  <c r="O10" i="2"/>
  <c r="O7" i="2"/>
  <c r="Q7" i="2" s="1"/>
  <c r="O2" i="2"/>
  <c r="Q2" i="2" s="1"/>
  <c r="O5" i="2"/>
  <c r="Q5" i="2" s="1"/>
  <c r="O8" i="2"/>
  <c r="P10" i="2"/>
  <c r="P9" i="2"/>
  <c r="P8" i="2"/>
  <c r="P7" i="2"/>
  <c r="R7" i="2" s="1"/>
  <c r="P5" i="2"/>
  <c r="R5" i="2" s="1"/>
  <c r="P4" i="2"/>
  <c r="R4" i="2" s="1"/>
  <c r="P3" i="2"/>
  <c r="R3" i="2" s="1"/>
  <c r="P2" i="2"/>
  <c r="R2" i="2" s="1"/>
  <c r="O4" i="2"/>
  <c r="Q4" i="2" s="1"/>
  <c r="O3" i="2"/>
  <c r="Q3" i="2" s="1"/>
  <c r="AB9" i="1"/>
  <c r="AE10" i="1"/>
  <c r="AC10" i="1"/>
  <c r="AE9" i="1"/>
  <c r="AC9" i="1"/>
  <c r="AE8" i="1"/>
  <c r="AC8" i="1"/>
  <c r="AD10" i="1"/>
  <c r="AB10" i="1"/>
  <c r="AD9" i="1"/>
  <c r="AD8" i="1"/>
  <c r="AB8" i="1"/>
  <c r="N54" i="13" l="1"/>
  <c r="D62" i="13"/>
  <c r="P62" i="13"/>
  <c r="P79" i="12"/>
  <c r="P64" i="11"/>
  <c r="P66" i="10"/>
  <c r="R14" i="2"/>
  <c r="R14" i="3" s="1"/>
  <c r="R14" i="4" s="1"/>
  <c r="R14" i="5" s="1"/>
  <c r="R18" i="6" s="1"/>
  <c r="R12" i="2"/>
  <c r="R12" i="3" s="1"/>
  <c r="R12" i="4" s="1"/>
  <c r="R12" i="5" s="1"/>
  <c r="R16" i="6" s="1"/>
  <c r="R8" i="2"/>
  <c r="R8" i="3" s="1"/>
  <c r="R8" i="4" s="1"/>
  <c r="R8" i="5" s="1"/>
  <c r="R8" i="6" s="1"/>
  <c r="R15" i="2"/>
  <c r="R15" i="3" s="1"/>
  <c r="R15" i="4" s="1"/>
  <c r="R15" i="5" s="1"/>
  <c r="R19" i="6" s="1"/>
  <c r="R13" i="2"/>
  <c r="R13" i="3" s="1"/>
  <c r="R13" i="4" s="1"/>
  <c r="R13" i="5" s="1"/>
  <c r="R17" i="6" s="1"/>
  <c r="T2" i="4"/>
  <c r="Q13" i="2"/>
  <c r="Q13" i="3" s="1"/>
  <c r="Q13" i="4" s="1"/>
  <c r="Q13" i="5" s="1"/>
  <c r="Q17" i="6" s="1"/>
  <c r="Q14" i="2"/>
  <c r="Q14" i="3" s="1"/>
  <c r="Q14" i="4" s="1"/>
  <c r="Q14" i="5" s="1"/>
  <c r="Q18" i="6" s="1"/>
  <c r="Q15" i="2"/>
  <c r="Q15" i="3" s="1"/>
  <c r="Q15" i="4" s="1"/>
  <c r="Q15" i="5" s="1"/>
  <c r="Q19" i="6" s="1"/>
  <c r="Q12" i="2"/>
  <c r="Q12" i="3" s="1"/>
  <c r="Q12" i="4" s="1"/>
  <c r="Q12" i="5" s="1"/>
  <c r="Q16" i="6" s="1"/>
  <c r="R2" i="3"/>
  <c r="R2" i="4" s="1"/>
  <c r="R2" i="5" s="1"/>
  <c r="R2" i="6" s="1"/>
  <c r="R5" i="3"/>
  <c r="R5" i="4" s="1"/>
  <c r="R5" i="5" s="1"/>
  <c r="R5" i="6" s="1"/>
  <c r="R4" i="3"/>
  <c r="R4" i="4" s="1"/>
  <c r="R4" i="5" s="1"/>
  <c r="R4" i="6" s="1"/>
  <c r="R7" i="3"/>
  <c r="R7" i="4" s="1"/>
  <c r="R7" i="5" s="1"/>
  <c r="R7" i="6" s="1"/>
  <c r="R3" i="3"/>
  <c r="R3" i="4" s="1"/>
  <c r="R3" i="5" s="1"/>
  <c r="R3" i="6" s="1"/>
  <c r="R10" i="2"/>
  <c r="R10" i="3" s="1"/>
  <c r="R10" i="4" s="1"/>
  <c r="R10" i="5" s="1"/>
  <c r="R11" i="6" s="1"/>
  <c r="R9" i="2"/>
  <c r="R9" i="3" s="1"/>
  <c r="R9" i="4" s="1"/>
  <c r="R9" i="5" s="1"/>
  <c r="R10" i="6" s="1"/>
  <c r="Q8" i="2"/>
  <c r="Q8" i="3" s="1"/>
  <c r="Q8" i="4" s="1"/>
  <c r="Q8" i="5" s="1"/>
  <c r="Q8" i="6" s="1"/>
  <c r="Q10" i="2"/>
  <c r="Q10" i="3" s="1"/>
  <c r="Q10" i="4" s="1"/>
  <c r="Q10" i="5" s="1"/>
  <c r="Q11" i="6" s="1"/>
  <c r="Q2" i="3"/>
  <c r="Q2" i="4" s="1"/>
  <c r="Q2" i="5" s="1"/>
  <c r="Q2" i="6" s="1"/>
  <c r="Q3" i="3"/>
  <c r="Q3" i="4" s="1"/>
  <c r="Q3" i="5" s="1"/>
  <c r="Q3" i="6" s="1"/>
  <c r="Q5" i="3"/>
  <c r="Q5" i="4" s="1"/>
  <c r="Q5" i="5" s="1"/>
  <c r="Q5" i="6" s="1"/>
  <c r="Q7" i="3"/>
  <c r="Q7" i="4" s="1"/>
  <c r="Q7" i="5" s="1"/>
  <c r="Q7" i="6" s="1"/>
  <c r="T2" i="2"/>
  <c r="Q9" i="2"/>
  <c r="Q9" i="3" s="1"/>
  <c r="Q9" i="4" s="1"/>
  <c r="Q9" i="5" s="1"/>
  <c r="Q10" i="6" s="1"/>
  <c r="Q4" i="3"/>
  <c r="Q4" i="4" s="1"/>
  <c r="Q4" i="5" s="1"/>
  <c r="Q4" i="6" s="1"/>
  <c r="T2" i="5"/>
  <c r="T2" i="6"/>
  <c r="T2" i="3"/>
  <c r="I67" i="1"/>
  <c r="C67" i="1"/>
  <c r="J66" i="1"/>
  <c r="D66" i="1"/>
  <c r="J65" i="1"/>
  <c r="D65" i="1"/>
  <c r="J64" i="1"/>
  <c r="D64" i="1"/>
  <c r="J63" i="1"/>
  <c r="D63" i="1"/>
  <c r="L60" i="1"/>
  <c r="K60" i="1"/>
  <c r="I60" i="1"/>
  <c r="H60" i="1"/>
  <c r="F60" i="1"/>
  <c r="E60" i="1"/>
  <c r="C60" i="1"/>
  <c r="B60" i="1"/>
  <c r="M59" i="1"/>
  <c r="J59" i="1"/>
  <c r="G59" i="1"/>
  <c r="D59" i="1"/>
  <c r="M58" i="1"/>
  <c r="J58" i="1"/>
  <c r="G58" i="1"/>
  <c r="D58" i="1"/>
  <c r="M57" i="1"/>
  <c r="J57" i="1"/>
  <c r="G57" i="1"/>
  <c r="D57" i="1"/>
  <c r="M56" i="1"/>
  <c r="J56" i="1"/>
  <c r="G56" i="1"/>
  <c r="D56" i="1"/>
  <c r="M55" i="1"/>
  <c r="J55" i="1"/>
  <c r="G55" i="1"/>
  <c r="D55" i="1"/>
  <c r="M54" i="1"/>
  <c r="J54" i="1"/>
  <c r="G54" i="1"/>
  <c r="D54" i="1"/>
  <c r="M53" i="1"/>
  <c r="J53" i="1"/>
  <c r="G53" i="1"/>
  <c r="D53" i="1"/>
  <c r="M52" i="1"/>
  <c r="J52" i="1"/>
  <c r="G52" i="1"/>
  <c r="D52" i="1"/>
  <c r="M67" i="1" l="1"/>
  <c r="D60" i="1"/>
  <c r="P60" i="1"/>
  <c r="J67" i="1"/>
  <c r="G60" i="1"/>
  <c r="J60" i="1"/>
  <c r="D67" i="1"/>
  <c r="M60" i="1"/>
</calcChain>
</file>

<file path=xl/sharedStrings.xml><?xml version="1.0" encoding="utf-8"?>
<sst xmlns="http://schemas.openxmlformats.org/spreadsheetml/2006/main" count="3029" uniqueCount="378">
  <si>
    <t>SUNDAY</t>
  </si>
  <si>
    <t>MONDAY</t>
  </si>
  <si>
    <t>TUESDAY</t>
  </si>
  <si>
    <t>WEDNESDAY</t>
  </si>
  <si>
    <t>THURSDAY</t>
  </si>
  <si>
    <t>FRIDAY</t>
  </si>
  <si>
    <t>SATURDAY</t>
  </si>
  <si>
    <t>Call</t>
  </si>
  <si>
    <t>Sunday 8PM-7AM</t>
  </si>
  <si>
    <t>Back-up Call</t>
  </si>
  <si>
    <t>Rounds Presentation</t>
  </si>
  <si>
    <t>Time Off</t>
  </si>
  <si>
    <t>NOTE</t>
  </si>
  <si>
    <t>VA Assignment</t>
  </si>
  <si>
    <t>VA CONTINUITY CLINICS</t>
  </si>
  <si>
    <t>PM</t>
  </si>
  <si>
    <t>FRIDAY</t>
    <phoneticPr fontId="3" type="noConversion"/>
  </si>
  <si>
    <t>NOTES</t>
  </si>
  <si>
    <t>Rounds Presentation</t>
    <phoneticPr fontId="3" type="noConversion"/>
  </si>
  <si>
    <t xml:space="preserve"> </t>
  </si>
  <si>
    <t xml:space="preserve">  • No vacation during consults rotation</t>
  </si>
  <si>
    <t>Sunday 8PM-8AM</t>
  </si>
  <si>
    <t xml:space="preserve"> • No vacation during consults rotation</t>
  </si>
  <si>
    <t>2 senior residents attend AAO Advocacy</t>
  </si>
  <si>
    <t>Dieu</t>
  </si>
  <si>
    <t>Huynh</t>
  </si>
  <si>
    <t>Mathew</t>
  </si>
  <si>
    <t xml:space="preserve">Primary Call = resident taking 7/3 call also takes holiday call </t>
  </si>
  <si>
    <t xml:space="preserve"> • 6/19 *VA Holiday:  Residents assigned to Alvernon clinics or academic time (must be taken in resident area or vacation applies)</t>
  </si>
  <si>
    <t xml:space="preserve"> • No PGY-2/3 vacation</t>
  </si>
  <si>
    <t xml:space="preserve"> • 11/11 *UA/VA Holiday:  Not a Banner holiday; all residents assigned to Alvernon</t>
  </si>
  <si>
    <t xml:space="preserve"> • 11/29 *UA Holiday:  Not a VA/Banner holiday, but no VA clinics and residents must submit VA request to cancel clinic</t>
  </si>
  <si>
    <t>AM</t>
  </si>
  <si>
    <t>GME Resident Forum</t>
  </si>
  <si>
    <t>Thompson</t>
  </si>
  <si>
    <t>Miller</t>
  </si>
  <si>
    <t>Philbrick</t>
  </si>
  <si>
    <t>7/12 Iqbal vacation approved by Dr. Altenbernd</t>
  </si>
  <si>
    <t xml:space="preserve">  • No resident vacation during interviews (December 13-14); PGY-3 on call</t>
  </si>
  <si>
    <t>4 Weekends</t>
  </si>
  <si>
    <t>BB</t>
  </si>
  <si>
    <t>AG</t>
  </si>
  <si>
    <t>JH</t>
  </si>
  <si>
    <t>KI</t>
  </si>
  <si>
    <t>AD</t>
  </si>
  <si>
    <t>RH</t>
  </si>
  <si>
    <t>NM</t>
  </si>
  <si>
    <t>EN</t>
  </si>
  <si>
    <t>AT</t>
  </si>
  <si>
    <t>DM</t>
  </si>
  <si>
    <t>SP</t>
  </si>
  <si>
    <t>July</t>
  </si>
  <si>
    <t>Total</t>
  </si>
  <si>
    <t>Weeknight to date</t>
  </si>
  <si>
    <t>Weekend to date</t>
  </si>
  <si>
    <t>Hyunh</t>
  </si>
  <si>
    <t>Weekday</t>
  </si>
  <si>
    <t>Weekend</t>
  </si>
  <si>
    <t>Sun night to date</t>
  </si>
  <si>
    <t>July Total=</t>
  </si>
  <si>
    <t>Holiday</t>
  </si>
  <si>
    <t>Floating Vacation</t>
  </si>
  <si>
    <t>QIPS</t>
  </si>
  <si>
    <t>Grand rounds to date</t>
  </si>
  <si>
    <t>PGY2 Shadow Call</t>
  </si>
  <si>
    <t>VA Cornea</t>
  </si>
  <si>
    <t>VA Glaucoma</t>
  </si>
  <si>
    <t>Rotation</t>
  </si>
  <si>
    <t>OR Day</t>
  </si>
  <si>
    <t>Mon</t>
  </si>
  <si>
    <t>Tue</t>
  </si>
  <si>
    <t>Chief/Retina</t>
  </si>
  <si>
    <t>Sears</t>
  </si>
  <si>
    <t>AS</t>
  </si>
  <si>
    <t>Fri night to date</t>
  </si>
  <si>
    <t>Weeknight (M-Th) to date</t>
  </si>
  <si>
    <t>Wed</t>
  </si>
  <si>
    <t>Weeknight</t>
  </si>
  <si>
    <t>Sun night</t>
  </si>
  <si>
    <t xml:space="preserve"> • Must be present on 6/5 for Residents’ Day</t>
  </si>
  <si>
    <t>** May change after ARVO presentation schedule is available</t>
  </si>
  <si>
    <t>JUNE 2026</t>
  </si>
  <si>
    <t>MAY 2026</t>
  </si>
  <si>
    <t>APRIL 2026</t>
  </si>
  <si>
    <t>MARCH 2026</t>
  </si>
  <si>
    <t>FEBRUARY 2026</t>
  </si>
  <si>
    <t>JANUARY 2026</t>
  </si>
  <si>
    <t>NOVEMBER 2025</t>
  </si>
  <si>
    <t xml:space="preserve"> SEPTEMBER 2025</t>
  </si>
  <si>
    <t>AUGUST 2025</t>
  </si>
  <si>
    <t>JULY 2025</t>
  </si>
  <si>
    <t xml:space="preserve">PGY-1:  </t>
  </si>
  <si>
    <t xml:space="preserve">PGY1: </t>
  </si>
  <si>
    <t xml:space="preserve"> • No vacation July 1-25</t>
  </si>
  <si>
    <t xml:space="preserve"> • 10/13 *VA Holiday:  Not a Banner holiday; all residents assigned to Alvernon (any resident who is out of town MUST use vacation)</t>
  </si>
  <si>
    <t>AAO                        17</t>
  </si>
  <si>
    <t>AAO                        18</t>
  </si>
  <si>
    <t>AAO                       19</t>
  </si>
  <si>
    <t>AAO                         20</t>
  </si>
  <si>
    <t xml:space="preserve"> • 10/17-20 No vacation during AAO (seniors off)</t>
  </si>
  <si>
    <t>HOLIDAY            27</t>
  </si>
  <si>
    <t>Primary and Back-up Call = resident taking 11/26 PM call also takes holiday and call thru 11/28 PM (5 PM 11/26 PM to 5 PM 11/28 PM)</t>
  </si>
  <si>
    <t xml:space="preserve">Primary and Back-up Call = resident taking 7/3 PM call also takes holiday call </t>
  </si>
  <si>
    <t xml:space="preserve">Primary and Back-up Call = resident taking 8/31 PM call also takes holiday call </t>
  </si>
  <si>
    <t xml:space="preserve">Primary and Back-up Call = resident taking 12/24 PM call also takes holiday call </t>
  </si>
  <si>
    <t xml:space="preserve">Primary and Back-up Call = resident taking 12/31 PM call also takes holiday call </t>
  </si>
  <si>
    <t>OCTOBER 2025</t>
  </si>
  <si>
    <t>DECEMBER 2025</t>
  </si>
  <si>
    <t>HOLIDAY            1</t>
  </si>
  <si>
    <t>UA/VA Holiday    19</t>
  </si>
  <si>
    <t xml:space="preserve"> • 1/19 *UA/VA Holiday:  Not a Banner holiday; residents assigned to Alvernon clinics or academic time (must be taken in resident area or vacation applies)</t>
  </si>
  <si>
    <t>VA Holiday          16</t>
  </si>
  <si>
    <t xml:space="preserve"> • 2/16 *VA Holiday:  Residents assigned to Alvernon clinics or academic time (must be taken in resident area or vacation applies)</t>
  </si>
  <si>
    <t>AAO Advocacy    15</t>
  </si>
  <si>
    <t>AAO Advocacy    16</t>
  </si>
  <si>
    <t>AAO Advocacy    17</t>
  </si>
  <si>
    <t>AAO Advocacy    18</t>
  </si>
  <si>
    <t xml:space="preserve"> • No senior vacation during AAO Advocacy (4/15-18)</t>
  </si>
  <si>
    <t xml:space="preserve"> • No vacation during ARVO (5/3-7)</t>
  </si>
  <si>
    <t>ARVO                3</t>
  </si>
  <si>
    <t>ARVO                 4</t>
  </si>
  <si>
    <t>ARVO                5</t>
  </si>
  <si>
    <t>ARVO                6</t>
  </si>
  <si>
    <t>ARVO               7</t>
  </si>
  <si>
    <t>HOLIDAY          25</t>
  </si>
  <si>
    <t xml:space="preserve">Primary and Back-up Call = resident taking 5/24 PM call also takes holiday call </t>
  </si>
  <si>
    <t>UA/VA Holiday   19</t>
  </si>
  <si>
    <t xml:space="preserve"> • PGY-4 resident vacation start last full week of June (21-30)</t>
  </si>
  <si>
    <t>vacation required if travel advisory level 3 (likely)</t>
  </si>
  <si>
    <t>leave Thursday PM/return Saturday (may be an AM clinic)</t>
  </si>
  <si>
    <t>leave Thursday PM/return Saturday</t>
  </si>
  <si>
    <t>Hermosillo PGY-4 Surgical (November 13 PM-November 15)</t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</si>
  <si>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 xml:space="preserve">: Miller  </t>
    </r>
  </si>
  <si>
    <t>HOLIDAY              4</t>
  </si>
  <si>
    <t>Moezzi</t>
  </si>
  <si>
    <t>Tung</t>
  </si>
  <si>
    <t>Wen</t>
  </si>
  <si>
    <t>Jones</t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</si>
  <si>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Philbrick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</si>
  <si>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Sears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</si>
  <si>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Thompson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</si>
  <si>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Moezzi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</si>
  <si>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Tung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</si>
  <si>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Wen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</si>
  <si>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Jones</t>
    </r>
  </si>
  <si>
    <t>Hermosillo Mission (October 23 PM-October 25)</t>
  </si>
  <si>
    <t>Noh</t>
  </si>
  <si>
    <t>VA Holiday       13</t>
  </si>
  <si>
    <t xml:space="preserve">     **11/26 primary call ends 7AM on 11/28</t>
  </si>
  <si>
    <t>HOLIDAY             1</t>
  </si>
  <si>
    <t>PGY2</t>
  </si>
  <si>
    <t>PGY3</t>
  </si>
  <si>
    <t>PGY4</t>
  </si>
  <si>
    <t>Avoid</t>
  </si>
  <si>
    <t>Plastics</t>
  </si>
  <si>
    <t>Glaucoma</t>
  </si>
  <si>
    <t>VA Retina</t>
  </si>
  <si>
    <t>General</t>
  </si>
  <si>
    <t>OR days</t>
  </si>
  <si>
    <t>Mon, 2nd/4th Tues</t>
  </si>
  <si>
    <t>Weds</t>
  </si>
  <si>
    <t>Sunday</t>
  </si>
  <si>
    <t>CONSULTS</t>
  </si>
  <si>
    <t>Peds</t>
  </si>
  <si>
    <t>Retina IK</t>
  </si>
  <si>
    <t>RA</t>
  </si>
  <si>
    <t>Tues, Weds PM</t>
  </si>
  <si>
    <t>Tues</t>
  </si>
  <si>
    <t>Cornea</t>
  </si>
  <si>
    <t>Chief</t>
  </si>
  <si>
    <t>Retina</t>
  </si>
  <si>
    <t>Thurs</t>
  </si>
  <si>
    <t>Tues, 2nd/4th Weds</t>
  </si>
  <si>
    <t>Consults</t>
  </si>
  <si>
    <t>Tues/Thurs</t>
  </si>
  <si>
    <t>Sun</t>
  </si>
  <si>
    <t>Mon, Weds</t>
  </si>
  <si>
    <t>Tues?</t>
  </si>
  <si>
    <t>Tues, Thurs</t>
  </si>
  <si>
    <t>???</t>
  </si>
  <si>
    <t>Mon, 2nd/3rd Tues</t>
  </si>
  <si>
    <t>Cornea MW</t>
  </si>
  <si>
    <t>Mon?</t>
  </si>
  <si>
    <t>Weeknights</t>
  </si>
  <si>
    <t>WN Total</t>
  </si>
  <si>
    <t>WKD Total</t>
  </si>
  <si>
    <t>N/A</t>
  </si>
  <si>
    <t xml:space="preserve">  N/A</t>
  </si>
  <si>
    <t>Total days in month</t>
  </si>
  <si>
    <t>*Thompson to cover consults 12/12</t>
  </si>
  <si>
    <t>Mon AM</t>
  </si>
  <si>
    <t>Weds/Thurs AM</t>
  </si>
  <si>
    <t>Tues/Weds</t>
  </si>
  <si>
    <t>Tues AM</t>
  </si>
  <si>
    <t>Sears, Jones, Moezzi, Tung</t>
  </si>
  <si>
    <t>Sears (PM)</t>
  </si>
  <si>
    <t>Jones (PM)</t>
  </si>
  <si>
    <t>Moezzi (PM)</t>
  </si>
  <si>
    <t>Tung (PM)</t>
  </si>
  <si>
    <t>Res/Fac Mtg        10</t>
  </si>
  <si>
    <t>UA/VA Holiday        11</t>
  </si>
  <si>
    <t>HOLIDAY        25</t>
  </si>
  <si>
    <t>Coffeen</t>
  </si>
  <si>
    <t>Ngo</t>
  </si>
  <si>
    <t>Gorka</t>
  </si>
  <si>
    <t>Shoushtari</t>
  </si>
  <si>
    <t>Shoustari</t>
  </si>
  <si>
    <t>Moezzi (Coffeen)</t>
  </si>
  <si>
    <t>Sears (Coffeen)</t>
  </si>
  <si>
    <t>Thompson (Coffeen)</t>
  </si>
  <si>
    <t>Wen (Coffeen)</t>
  </si>
  <si>
    <t xml:space="preserve">Thompson </t>
  </si>
  <si>
    <t>Jones (Coffeen)</t>
  </si>
  <si>
    <t>Tung (Coffeen)</t>
  </si>
  <si>
    <t>Miller (Ngo)</t>
  </si>
  <si>
    <t>Tung (Ngo)</t>
  </si>
  <si>
    <t>Moezzi (Ngo)</t>
  </si>
  <si>
    <t>Thompson (Ngo)</t>
  </si>
  <si>
    <t>Noh (S)</t>
  </si>
  <si>
    <t>Mathew (PM) (A)</t>
  </si>
  <si>
    <t>Mathew (A)</t>
  </si>
  <si>
    <t>Dr. Quan Nguyen</t>
  </si>
  <si>
    <t>Miller (PM) (S)</t>
  </si>
  <si>
    <t>Thompson (PM) (S)</t>
  </si>
  <si>
    <t>Sears (PM) (S)</t>
  </si>
  <si>
    <t>Huynh (A)</t>
  </si>
  <si>
    <t>Huynh (PM) (A)</t>
  </si>
  <si>
    <t>Dieu (A)</t>
  </si>
  <si>
    <t>Noh (A)</t>
  </si>
  <si>
    <t>Dieu (PM) (A)</t>
  </si>
  <si>
    <t>Noh (PM) (A)</t>
  </si>
  <si>
    <t>Tung (S)</t>
  </si>
  <si>
    <t>Dieu (S)</t>
  </si>
  <si>
    <t>OKAP                12</t>
  </si>
  <si>
    <t>OKAP                 13</t>
  </si>
  <si>
    <t>In-House Review  2</t>
  </si>
  <si>
    <t>In-House Review  3</t>
  </si>
  <si>
    <t>In-House Review  4</t>
  </si>
  <si>
    <t>In-House Review  5</t>
  </si>
  <si>
    <t>In-House Review  6</t>
  </si>
  <si>
    <t>Revised 7/30/25</t>
  </si>
  <si>
    <t>21-22 CSE Course - Miller/Philbrick</t>
  </si>
  <si>
    <t>Dieu (PM)</t>
  </si>
  <si>
    <t>Noh (PM)</t>
  </si>
  <si>
    <t>Mathew (PM)</t>
  </si>
  <si>
    <t>Revised 8/20/25</t>
  </si>
  <si>
    <t>Noh (I)</t>
  </si>
  <si>
    <t>Mathew (PM) (S)</t>
  </si>
  <si>
    <t>Miller (S)</t>
  </si>
  <si>
    <t>Miller (AM) (S)</t>
  </si>
  <si>
    <t>Mathew (I)</t>
  </si>
  <si>
    <t>Thompson / 12 PM Noh</t>
  </si>
  <si>
    <t>Huynh (PM)</t>
  </si>
  <si>
    <t>Dieu (AAO)</t>
  </si>
  <si>
    <t>Huynh (AAO)</t>
  </si>
  <si>
    <t>Noh (AAO)</t>
  </si>
  <si>
    <t>Grad Dinner        11</t>
  </si>
  <si>
    <t>Res/Fac Mtg    27</t>
  </si>
  <si>
    <t>Wen (AM) (S)</t>
  </si>
  <si>
    <t>Coffeen (S)</t>
  </si>
  <si>
    <t>Wen (S)</t>
  </si>
  <si>
    <t>Revised 9/29/25</t>
  </si>
  <si>
    <t>Noh (PM) (I)</t>
  </si>
  <si>
    <r>
      <t xml:space="preserve">PGY1:  </t>
    </r>
    <r>
      <rPr>
        <sz val="9"/>
        <color rgb="FF000000"/>
        <rFont val="Calibri"/>
        <family val="2"/>
        <scheme val="minor"/>
      </rPr>
      <t>Gorka</t>
    </r>
  </si>
  <si>
    <t>Gorka (1/26)</t>
  </si>
  <si>
    <r>
      <t xml:space="preserve">PGY1: </t>
    </r>
    <r>
      <rPr>
        <sz val="9"/>
        <color rgb="FF000000"/>
        <rFont val="Calibri"/>
        <family val="2"/>
        <scheme val="minor"/>
      </rPr>
      <t>Gorka</t>
    </r>
  </si>
  <si>
    <r>
      <t xml:space="preserve">PGY1: </t>
    </r>
    <r>
      <rPr>
        <sz val="9"/>
        <color rgb="FF000000"/>
        <rFont val="Calibri"/>
        <family val="2"/>
        <scheme val="minor"/>
      </rPr>
      <t>Shoushtari</t>
    </r>
  </si>
  <si>
    <t>Shoushtari (4/27)</t>
  </si>
  <si>
    <t xml:space="preserve"> • No resident vacation on Phaco Day (5/15)</t>
  </si>
  <si>
    <t xml:space="preserve"> • 3/2-6 In-House Review Course (AM only)</t>
  </si>
  <si>
    <t xml:space="preserve"> • OKAP - Thursday 3/12 and Friday 3/13</t>
  </si>
  <si>
    <t>Huynh (I)</t>
  </si>
  <si>
    <t>Huynh (PM) (I)</t>
  </si>
  <si>
    <t>Dieu (11/28)</t>
  </si>
  <si>
    <t>Huynh (12/25)</t>
  </si>
  <si>
    <t>Mathew (9/1)</t>
  </si>
  <si>
    <t>Mathew (11/27)</t>
  </si>
  <si>
    <t>Noh (7/4)</t>
  </si>
  <si>
    <t>Philbrick (PM)</t>
  </si>
  <si>
    <t>Sears (7/4)</t>
  </si>
  <si>
    <t>leave Friday after phaco lab/return Saturday (or early Sunday morning if finish very late with surgeries)</t>
  </si>
  <si>
    <t>Huynh, Noh</t>
  </si>
  <si>
    <t>Thompson (9/1)</t>
  </si>
  <si>
    <t>leave early Friday AM/return Saturday afternoon</t>
  </si>
  <si>
    <t>Agua Prieta Medical Mission (April 24-25)</t>
  </si>
  <si>
    <t>Agua Prieta PGY-4 Surgical Mission (May 15-16)</t>
  </si>
  <si>
    <t>Miller (1/1)</t>
  </si>
  <si>
    <t>Revised 10/30/25</t>
  </si>
  <si>
    <t>Dieu (AM) (I)</t>
  </si>
  <si>
    <t>Miller (PL)</t>
  </si>
  <si>
    <t>3/12 - Huynh, Mathew, Noh, Miller, Thompson, Jones</t>
  </si>
  <si>
    <t>3/13 - Dieu, Philbrick, Sears, Moezzi, Tung, Wen</t>
  </si>
  <si>
    <t>OKAP - no call night before OKAP</t>
  </si>
  <si>
    <t>Dieu, Huynh</t>
  </si>
  <si>
    <t>1/17 Mock Orals</t>
  </si>
  <si>
    <t>Sears (Ngo)</t>
  </si>
  <si>
    <t>Revised 11/19/25</t>
  </si>
  <si>
    <t>Tung (AM)</t>
  </si>
  <si>
    <t>Jones (AM) (S)</t>
  </si>
  <si>
    <t>Philbrick (Ngo)</t>
  </si>
  <si>
    <t>Huynh (PM) (S)</t>
  </si>
  <si>
    <t>Noh (PM) (S)</t>
  </si>
  <si>
    <t>Wed/Thu</t>
  </si>
  <si>
    <t>General (RS)</t>
  </si>
  <si>
    <t>Cornea (AM/MW)</t>
  </si>
  <si>
    <t>Glaucoma (TA)</t>
  </si>
  <si>
    <t xml:space="preserve">Moezzi </t>
  </si>
  <si>
    <t xml:space="preserve">Tung </t>
  </si>
  <si>
    <t>Cornea/Refractive</t>
  </si>
  <si>
    <t>Mathew, Huynh, Sears, Jones, Moezzi, Wen</t>
  </si>
  <si>
    <t>January</t>
  </si>
  <si>
    <t>MJ</t>
  </si>
  <si>
    <t>CM</t>
  </si>
  <si>
    <t>ST</t>
  </si>
  <si>
    <t>JW</t>
  </si>
  <si>
    <t>January Total=</t>
  </si>
  <si>
    <t>x</t>
  </si>
  <si>
    <t>Retina (IK)</t>
  </si>
  <si>
    <t>2/23 Consults - Miller (in exchange for weekend call coverage)</t>
  </si>
  <si>
    <t>February</t>
  </si>
  <si>
    <t>Feburary Total=</t>
  </si>
  <si>
    <t>March</t>
  </si>
  <si>
    <t>March Total=</t>
  </si>
  <si>
    <t>OEPS</t>
  </si>
  <si>
    <t>April</t>
  </si>
  <si>
    <t>April Total=</t>
  </si>
  <si>
    <t>No following residents scheduled for call for ARVO week</t>
  </si>
  <si>
    <t>David Miller</t>
  </si>
  <si>
    <t>Samuel Philbrick</t>
  </si>
  <si>
    <t>Alexander Thompson</t>
  </si>
  <si>
    <t>Avery Sears</t>
  </si>
  <si>
    <t xml:space="preserve">Ped </t>
  </si>
  <si>
    <t>Marlee Jones</t>
  </si>
  <si>
    <t>Huynh / 8PM Dieu</t>
  </si>
  <si>
    <t>May</t>
  </si>
  <si>
    <t>but has memorial day</t>
  </si>
  <si>
    <t>May Total=</t>
  </si>
  <si>
    <t>Transition</t>
  </si>
  <si>
    <t xml:space="preserve">Plastics </t>
  </si>
  <si>
    <t>6/23 Moezzi - day off to avoid work hours violation</t>
  </si>
  <si>
    <t>Noh (11/28)</t>
  </si>
  <si>
    <t>June</t>
  </si>
  <si>
    <t>Total (primary)</t>
  </si>
  <si>
    <t>June Total=</t>
  </si>
  <si>
    <t>RH gets 1 extra weekend from NM from 2025</t>
  </si>
  <si>
    <t>Miller, Thompson, Tung</t>
  </si>
  <si>
    <t>Sears (S)</t>
  </si>
  <si>
    <t>Philbrick (S)</t>
  </si>
  <si>
    <t>Moezzi (PM) (S)</t>
  </si>
  <si>
    <t>Revised 12/31/25</t>
  </si>
  <si>
    <t>Moezzi (S)</t>
  </si>
  <si>
    <t>Dieu (1/1)</t>
  </si>
  <si>
    <t>Dieu (5/25)</t>
  </si>
  <si>
    <t>Huynh (S)</t>
  </si>
  <si>
    <t>Thompson (12/25)</t>
  </si>
  <si>
    <t>Revised 1/26/26</t>
  </si>
  <si>
    <t>Jones (11/28)</t>
  </si>
  <si>
    <t>Revised 2/25/26</t>
  </si>
  <si>
    <t>Miller (ARVO)</t>
  </si>
  <si>
    <t>Thompson (ARVO)</t>
  </si>
  <si>
    <t>Moezzi (ARVO)</t>
  </si>
  <si>
    <t>Philbrick (ARVO)</t>
  </si>
  <si>
    <t>Jones (ARVO)</t>
  </si>
  <si>
    <t>Shoushtari (ARVO)</t>
  </si>
  <si>
    <t>Philbrick (AAPOS)</t>
  </si>
  <si>
    <t>Sears (AAPOS)</t>
  </si>
  <si>
    <t>Sears (ARVO)</t>
  </si>
  <si>
    <t>Miller (Shoushtari)</t>
  </si>
  <si>
    <t>Philbrick (Shoushtari)</t>
  </si>
  <si>
    <t>Thompson (Shoushtari)</t>
  </si>
  <si>
    <t>Miller (PM)</t>
  </si>
  <si>
    <t>Revised 3/31/25</t>
  </si>
  <si>
    <t>Tung (Shoushtari)</t>
  </si>
  <si>
    <t>Huynh (Sick)</t>
  </si>
  <si>
    <t>Revised 4/27/26</t>
  </si>
  <si>
    <t>Revised 5/6/26</t>
  </si>
  <si>
    <t>Shoushtari (PM) (S)</t>
  </si>
  <si>
    <t>Revised 5/11/26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</si>
</sst>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9"/>
      <color theme="1"/>
      <name val="Calibri (Body)"/>
    </font>
    <font>
      <b/>
      <sz val="9"/>
      <color theme="1"/>
      <name val="Calibri (Body)"/>
    </font>
    <font>
      <sz val="9"/>
      <color theme="0"/>
      <name val="Calibri (Body)"/>
    </font>
    <font>
      <sz val="11"/>
      <color theme="1"/>
      <name val="Calibri"/>
      <family val="2"/>
    </font>
    <font>
      <sz val="10"/>
      <color rgb="FF242424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dotted">
        <color indexed="64"/>
      </top>
      <bottom style="dotted">
        <color auto="1"/>
      </bottom>
      <diagonal/>
    </border>
    <border>
      <left style="thin">
        <color rgb="FF000000"/>
      </left>
      <right style="thin">
        <color auto="1"/>
      </right>
      <top style="dotted">
        <color indexed="64"/>
      </top>
      <bottom style="dotted">
        <color auto="1"/>
      </bottom>
      <diagonal/>
    </border>
    <border>
      <left style="thin">
        <color auto="1"/>
      </left>
      <right style="thin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auto="1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theme="0" tint="-0.1499984740745262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dotted">
        <color rgb="FF000000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21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2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15" borderId="26" applyNumberFormat="0" applyAlignment="0" applyProtection="0"/>
    <xf numFmtId="0" fontId="11" fillId="28" borderId="2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4" fillId="0" borderId="1" applyNumberFormat="0" applyFill="0" applyAlignment="0" applyProtection="0"/>
    <xf numFmtId="0" fontId="14" fillId="0" borderId="28" applyNumberFormat="0" applyFill="0" applyAlignment="0" applyProtection="0"/>
    <xf numFmtId="0" fontId="5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15" fillId="30" borderId="26" applyNumberFormat="0" applyAlignment="0" applyProtection="0"/>
    <xf numFmtId="0" fontId="16" fillId="0" borderId="29" applyNumberFormat="0" applyFill="0" applyAlignment="0" applyProtection="0"/>
    <xf numFmtId="0" fontId="17" fillId="31" borderId="0" applyNumberFormat="0" applyBorder="0" applyAlignment="0" applyProtection="0"/>
    <xf numFmtId="0" fontId="2" fillId="32" borderId="30" applyNumberFormat="0" applyFont="0" applyAlignment="0" applyProtection="0"/>
    <xf numFmtId="0" fontId="1" fillId="32" borderId="30" applyNumberFormat="0" applyFont="0" applyAlignment="0" applyProtection="0"/>
    <xf numFmtId="0" fontId="18" fillId="15" borderId="31" applyNumberFormat="0" applyAlignment="0" applyProtection="0"/>
    <xf numFmtId="0" fontId="6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59" applyNumberFormat="0" applyFill="0" applyAlignment="0" applyProtection="0"/>
  </cellStyleXfs>
  <cellXfs count="409">
    <xf numFmtId="0" fontId="0" fillId="0" borderId="0" xfId="0"/>
    <xf numFmtId="0" fontId="24" fillId="0" borderId="0" xfId="0" applyFont="1" applyAlignment="1">
      <alignment horizontal="right" vertical="top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0" borderId="4" xfId="0" applyFont="1" applyBorder="1"/>
    <xf numFmtId="0" fontId="28" fillId="16" borderId="5" xfId="0" applyFont="1" applyFill="1" applyBorder="1" applyAlignment="1">
      <alignment horizontal="center"/>
    </xf>
    <xf numFmtId="0" fontId="25" fillId="16" borderId="40" xfId="0" applyFont="1" applyFill="1" applyBorder="1"/>
    <xf numFmtId="0" fontId="28" fillId="0" borderId="18" xfId="0" applyFont="1" applyBorder="1"/>
    <xf numFmtId="0" fontId="28" fillId="0" borderId="7" xfId="0" applyFont="1" applyBorder="1"/>
    <xf numFmtId="0" fontId="28" fillId="0" borderId="0" xfId="0" applyFont="1"/>
    <xf numFmtId="0" fontId="25" fillId="16" borderId="8" xfId="0" applyFont="1" applyFill="1" applyBorder="1"/>
    <xf numFmtId="0" fontId="25" fillId="0" borderId="11" xfId="0" applyFont="1" applyBorder="1" applyAlignment="1">
      <alignment horizontal="left"/>
    </xf>
    <xf numFmtId="0" fontId="25" fillId="0" borderId="8" xfId="0" applyFont="1" applyBorder="1"/>
    <xf numFmtId="0" fontId="25" fillId="0" borderId="7" xfId="0" applyFont="1" applyBorder="1"/>
    <xf numFmtId="0" fontId="25" fillId="16" borderId="9" xfId="0" applyFont="1" applyFill="1" applyBorder="1"/>
    <xf numFmtId="0" fontId="25" fillId="17" borderId="16" xfId="0" applyFont="1" applyFill="1" applyBorder="1"/>
    <xf numFmtId="0" fontId="25" fillId="17" borderId="9" xfId="0" applyFont="1" applyFill="1" applyBorder="1" applyAlignment="1">
      <alignment vertical="top"/>
    </xf>
    <xf numFmtId="0" fontId="25" fillId="0" borderId="9" xfId="0" applyFont="1" applyBorder="1"/>
    <xf numFmtId="0" fontId="25" fillId="17" borderId="9" xfId="0" applyFont="1" applyFill="1" applyBorder="1"/>
    <xf numFmtId="0" fontId="25" fillId="16" borderId="16" xfId="0" applyFont="1" applyFill="1" applyBorder="1"/>
    <xf numFmtId="0" fontId="25" fillId="0" borderId="12" xfId="0" applyFont="1" applyBorder="1"/>
    <xf numFmtId="0" fontId="25" fillId="16" borderId="7" xfId="0" applyFont="1" applyFill="1" applyBorder="1"/>
    <xf numFmtId="0" fontId="28" fillId="0" borderId="20" xfId="0" applyFont="1" applyBorder="1"/>
    <xf numFmtId="0" fontId="28" fillId="0" borderId="7" xfId="0" applyFont="1" applyBorder="1" applyAlignment="1">
      <alignment horizontal="right"/>
    </xf>
    <xf numFmtId="0" fontId="25" fillId="0" borderId="25" xfId="0" applyFont="1" applyBorder="1"/>
    <xf numFmtId="0" fontId="25" fillId="0" borderId="39" xfId="0" applyFont="1" applyBorder="1"/>
    <xf numFmtId="0" fontId="25" fillId="17" borderId="39" xfId="0" applyFont="1" applyFill="1" applyBorder="1"/>
    <xf numFmtId="0" fontId="25" fillId="17" borderId="24" xfId="0" applyFont="1" applyFill="1" applyBorder="1"/>
    <xf numFmtId="0" fontId="25" fillId="33" borderId="16" xfId="0" applyFont="1" applyFill="1" applyBorder="1"/>
    <xf numFmtId="0" fontId="28" fillId="0" borderId="17" xfId="0" applyFont="1" applyBorder="1"/>
    <xf numFmtId="0" fontId="25" fillId="17" borderId="13" xfId="0" applyFont="1" applyFill="1" applyBorder="1"/>
    <xf numFmtId="0" fontId="28" fillId="0" borderId="18" xfId="0" applyFont="1" applyBorder="1" applyAlignment="1">
      <alignment horizontal="right"/>
    </xf>
    <xf numFmtId="0" fontId="28" fillId="0" borderId="19" xfId="0" applyFont="1" applyBorder="1"/>
    <xf numFmtId="0" fontId="25" fillId="0" borderId="20" xfId="0" applyFont="1" applyBorder="1"/>
    <xf numFmtId="0" fontId="25" fillId="0" borderId="11" xfId="0" applyFont="1" applyBorder="1"/>
    <xf numFmtId="0" fontId="25" fillId="0" borderId="13" xfId="0" applyFont="1" applyBorder="1"/>
    <xf numFmtId="0" fontId="29" fillId="0" borderId="0" xfId="0" applyFont="1"/>
    <xf numFmtId="0" fontId="30" fillId="0" borderId="0" xfId="0" applyFont="1" applyAlignment="1">
      <alignment horizontal="right"/>
    </xf>
    <xf numFmtId="0" fontId="25" fillId="0" borderId="0" xfId="0" applyFont="1" applyAlignment="1">
      <alignment vertical="top"/>
    </xf>
    <xf numFmtId="0" fontId="25" fillId="34" borderId="0" xfId="0" applyFont="1" applyFill="1"/>
    <xf numFmtId="0" fontId="23" fillId="0" borderId="0" xfId="0" applyFont="1"/>
    <xf numFmtId="0" fontId="25" fillId="0" borderId="0" xfId="0" applyFont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8" fillId="16" borderId="5" xfId="0" applyFont="1" applyFill="1" applyBorder="1" applyAlignment="1">
      <alignment horizontal="left"/>
    </xf>
    <xf numFmtId="0" fontId="25" fillId="16" borderId="7" xfId="0" applyFont="1" applyFill="1" applyBorder="1" applyAlignment="1">
      <alignment horizontal="left" vertical="top"/>
    </xf>
    <xf numFmtId="0" fontId="28" fillId="0" borderId="21" xfId="0" applyFont="1" applyBorder="1" applyAlignment="1">
      <alignment horizontal="right"/>
    </xf>
    <xf numFmtId="0" fontId="28" fillId="0" borderId="19" xfId="0" applyFont="1" applyBorder="1" applyAlignment="1">
      <alignment horizontal="right"/>
    </xf>
    <xf numFmtId="0" fontId="25" fillId="16" borderId="8" xfId="0" applyFont="1" applyFill="1" applyBorder="1" applyAlignment="1">
      <alignment horizontal="left" vertical="top"/>
    </xf>
    <xf numFmtId="0" fontId="25" fillId="0" borderId="20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16" borderId="6" xfId="0" applyFont="1" applyFill="1" applyBorder="1" applyAlignment="1">
      <alignment horizontal="left" vertical="top"/>
    </xf>
    <xf numFmtId="0" fontId="25" fillId="16" borderId="9" xfId="0" applyFont="1" applyFill="1" applyBorder="1" applyAlignment="1">
      <alignment horizontal="left" vertical="top"/>
    </xf>
    <xf numFmtId="0" fontId="25" fillId="0" borderId="9" xfId="0" applyFont="1" applyBorder="1" applyAlignment="1">
      <alignment horizontal="left"/>
    </xf>
    <xf numFmtId="0" fontId="25" fillId="17" borderId="9" xfId="0" applyFont="1" applyFill="1" applyBorder="1" applyAlignment="1">
      <alignment horizontal="left"/>
    </xf>
    <xf numFmtId="0" fontId="25" fillId="0" borderId="23" xfId="0" applyFont="1" applyBorder="1"/>
    <xf numFmtId="0" fontId="25" fillId="17" borderId="7" xfId="0" applyFont="1" applyFill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5" fillId="16" borderId="10" xfId="0" applyFont="1" applyFill="1" applyBorder="1" applyAlignment="1">
      <alignment horizontal="left" vertical="top"/>
    </xf>
    <xf numFmtId="0" fontId="26" fillId="0" borderId="0" xfId="0" applyFont="1" applyAlignment="1">
      <alignment vertical="top"/>
    </xf>
    <xf numFmtId="0" fontId="27" fillId="0" borderId="7" xfId="0" applyFont="1" applyBorder="1" applyAlignment="1">
      <alignment horizontal="left" vertical="top"/>
    </xf>
    <xf numFmtId="0" fontId="25" fillId="16" borderId="23" xfId="0" applyFont="1" applyFill="1" applyBorder="1" applyAlignment="1">
      <alignment horizontal="left" vertical="top"/>
    </xf>
    <xf numFmtId="0" fontId="25" fillId="17" borderId="23" xfId="0" applyFont="1" applyFill="1" applyBorder="1" applyAlignment="1">
      <alignment horizontal="left"/>
    </xf>
    <xf numFmtId="0" fontId="25" fillId="17" borderId="42" xfId="0" applyFont="1" applyFill="1" applyBorder="1" applyAlignment="1">
      <alignment horizontal="left"/>
    </xf>
    <xf numFmtId="0" fontId="28" fillId="0" borderId="20" xfId="0" applyFont="1" applyBorder="1" applyAlignment="1">
      <alignment horizontal="right"/>
    </xf>
    <xf numFmtId="0" fontId="25" fillId="18" borderId="9" xfId="0" applyFont="1" applyFill="1" applyBorder="1" applyAlignment="1">
      <alignment horizontal="left"/>
    </xf>
    <xf numFmtId="0" fontId="25" fillId="17" borderId="16" xfId="0" applyFont="1" applyFill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0" fillId="17" borderId="24" xfId="0" applyFill="1" applyBorder="1" applyAlignment="1">
      <alignment horizontal="left" vertical="top"/>
    </xf>
    <xf numFmtId="0" fontId="25" fillId="17" borderId="17" xfId="0" applyFont="1" applyFill="1" applyBorder="1" applyAlignment="1">
      <alignment horizontal="left" vertical="top"/>
    </xf>
    <xf numFmtId="0" fontId="25" fillId="0" borderId="7" xfId="0" applyFont="1" applyBorder="1" applyAlignment="1">
      <alignment horizontal="left" vertical="top"/>
    </xf>
    <xf numFmtId="0" fontId="0" fillId="17" borderId="41" xfId="0" applyFill="1" applyBorder="1" applyAlignment="1">
      <alignment horizontal="left" vertical="top"/>
    </xf>
    <xf numFmtId="0" fontId="25" fillId="33" borderId="9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20" xfId="0" applyFont="1" applyBorder="1" applyAlignment="1">
      <alignment horizontal="left"/>
    </xf>
    <xf numFmtId="0" fontId="25" fillId="37" borderId="9" xfId="0" applyFont="1" applyFill="1" applyBorder="1" applyAlignment="1">
      <alignment horizontal="left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right"/>
    </xf>
    <xf numFmtId="0" fontId="25" fillId="3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2" fillId="0" borderId="0" xfId="0" applyFont="1"/>
    <xf numFmtId="0" fontId="25" fillId="16" borderId="14" xfId="0" applyFont="1" applyFill="1" applyBorder="1"/>
    <xf numFmtId="0" fontId="25" fillId="16" borderId="6" xfId="0" applyFont="1" applyFill="1" applyBorder="1"/>
    <xf numFmtId="0" fontId="25" fillId="16" borderId="23" xfId="0" applyFont="1" applyFill="1" applyBorder="1"/>
    <xf numFmtId="0" fontId="25" fillId="33" borderId="7" xfId="0" applyFont="1" applyFill="1" applyBorder="1"/>
    <xf numFmtId="0" fontId="25" fillId="16" borderId="11" xfId="0" applyFont="1" applyFill="1" applyBorder="1"/>
    <xf numFmtId="0" fontId="25" fillId="0" borderId="7" xfId="0" applyFont="1" applyBorder="1" applyAlignment="1">
      <alignment vertical="top"/>
    </xf>
    <xf numFmtId="0" fontId="23" fillId="0" borderId="7" xfId="0" applyFont="1" applyBorder="1"/>
    <xf numFmtId="0" fontId="33" fillId="0" borderId="20" xfId="0" applyFont="1" applyBorder="1" applyAlignment="1">
      <alignment horizontal="right"/>
    </xf>
    <xf numFmtId="0" fontId="25" fillId="18" borderId="8" xfId="0" applyFont="1" applyFill="1" applyBorder="1" applyAlignment="1">
      <alignment horizontal="left"/>
    </xf>
    <xf numFmtId="0" fontId="25" fillId="33" borderId="9" xfId="0" applyFont="1" applyFill="1" applyBorder="1"/>
    <xf numFmtId="0" fontId="28" fillId="0" borderId="17" xfId="0" applyFont="1" applyBorder="1" applyAlignment="1">
      <alignment horizontal="right"/>
    </xf>
    <xf numFmtId="0" fontId="25" fillId="33" borderId="0" xfId="0" applyFont="1" applyFill="1"/>
    <xf numFmtId="0" fontId="25" fillId="0" borderId="9" xfId="0" applyFont="1" applyBorder="1" applyAlignment="1">
      <alignment wrapText="1"/>
    </xf>
    <xf numFmtId="0" fontId="25" fillId="33" borderId="20" xfId="0" applyFont="1" applyFill="1" applyBorder="1"/>
    <xf numFmtId="0" fontId="27" fillId="33" borderId="9" xfId="0" applyFont="1" applyFill="1" applyBorder="1"/>
    <xf numFmtId="0" fontId="27" fillId="0" borderId="4" xfId="0" applyFont="1" applyBorder="1"/>
    <xf numFmtId="0" fontId="36" fillId="16" borderId="5" xfId="0" applyFont="1" applyFill="1" applyBorder="1" applyAlignment="1">
      <alignment horizontal="center"/>
    </xf>
    <xf numFmtId="0" fontId="27" fillId="16" borderId="7" xfId="0" applyFont="1" applyFill="1" applyBorder="1"/>
    <xf numFmtId="0" fontId="36" fillId="0" borderId="17" xfId="0" applyFont="1" applyBorder="1"/>
    <xf numFmtId="0" fontId="36" fillId="0" borderId="7" xfId="0" applyFont="1" applyBorder="1" applyAlignment="1">
      <alignment horizontal="right"/>
    </xf>
    <xf numFmtId="0" fontId="36" fillId="0" borderId="7" xfId="0" applyFont="1" applyBorder="1"/>
    <xf numFmtId="0" fontId="27" fillId="16" borderId="8" xfId="0" applyFont="1" applyFill="1" applyBorder="1"/>
    <xf numFmtId="0" fontId="27" fillId="0" borderId="7" xfId="0" applyFont="1" applyBorder="1"/>
    <xf numFmtId="0" fontId="27" fillId="0" borderId="8" xfId="0" applyFont="1" applyBorder="1"/>
    <xf numFmtId="0" fontId="27" fillId="16" borderId="9" xfId="0" applyFont="1" applyFill="1" applyBorder="1"/>
    <xf numFmtId="0" fontId="27" fillId="17" borderId="9" xfId="0" applyFont="1" applyFill="1" applyBorder="1"/>
    <xf numFmtId="0" fontId="27" fillId="0" borderId="9" xfId="0" applyFont="1" applyBorder="1"/>
    <xf numFmtId="0" fontId="27" fillId="0" borderId="23" xfId="0" applyFont="1" applyBorder="1"/>
    <xf numFmtId="0" fontId="27" fillId="33" borderId="7" xfId="0" applyFont="1" applyFill="1" applyBorder="1"/>
    <xf numFmtId="0" fontId="27" fillId="0" borderId="20" xfId="0" applyFont="1" applyBorder="1"/>
    <xf numFmtId="0" fontId="27" fillId="17" borderId="10" xfId="0" applyFont="1" applyFill="1" applyBorder="1"/>
    <xf numFmtId="0" fontId="27" fillId="16" borderId="10" xfId="0" applyFont="1" applyFill="1" applyBorder="1"/>
    <xf numFmtId="0" fontId="27" fillId="0" borderId="10" xfId="0" applyFont="1" applyBorder="1"/>
    <xf numFmtId="0" fontId="27" fillId="33" borderId="10" xfId="0" applyFont="1" applyFill="1" applyBorder="1"/>
    <xf numFmtId="0" fontId="27" fillId="0" borderId="13" xfId="0" applyFont="1" applyBorder="1"/>
    <xf numFmtId="0" fontId="27" fillId="17" borderId="7" xfId="0" applyFont="1" applyFill="1" applyBorder="1"/>
    <xf numFmtId="0" fontId="36" fillId="0" borderId="0" xfId="0" applyFont="1"/>
    <xf numFmtId="0" fontId="27" fillId="17" borderId="16" xfId="0" applyFont="1" applyFill="1" applyBorder="1"/>
    <xf numFmtId="0" fontId="36" fillId="0" borderId="18" xfId="0" applyFont="1" applyBorder="1"/>
    <xf numFmtId="0" fontId="36" fillId="0" borderId="19" xfId="0" applyFont="1" applyBorder="1"/>
    <xf numFmtId="0" fontId="27" fillId="0" borderId="12" xfId="0" applyFont="1" applyBorder="1"/>
    <xf numFmtId="0" fontId="27" fillId="0" borderId="18" xfId="0" applyFont="1" applyBorder="1"/>
    <xf numFmtId="0" fontId="35" fillId="0" borderId="0" xfId="0" applyFont="1" applyAlignment="1">
      <alignment horizontal="right"/>
    </xf>
    <xf numFmtId="0" fontId="36" fillId="0" borderId="21" xfId="0" applyFont="1" applyBorder="1"/>
    <xf numFmtId="0" fontId="27" fillId="0" borderId="11" xfId="0" applyFont="1" applyBorder="1"/>
    <xf numFmtId="0" fontId="27" fillId="0" borderId="22" xfId="0" applyFont="1" applyBorder="1"/>
    <xf numFmtId="0" fontId="27" fillId="33" borderId="13" xfId="0" applyFont="1" applyFill="1" applyBorder="1"/>
    <xf numFmtId="0" fontId="27" fillId="16" borderId="23" xfId="0" applyFont="1" applyFill="1" applyBorder="1"/>
    <xf numFmtId="0" fontId="27" fillId="16" borderId="11" xfId="0" applyFont="1" applyFill="1" applyBorder="1"/>
    <xf numFmtId="0" fontId="27" fillId="0" borderId="44" xfId="0" applyFont="1" applyBorder="1"/>
    <xf numFmtId="0" fontId="33" fillId="0" borderId="17" xfId="0" applyFont="1" applyBorder="1"/>
    <xf numFmtId="0" fontId="27" fillId="16" borderId="22" xfId="0" applyFont="1" applyFill="1" applyBorder="1"/>
    <xf numFmtId="0" fontId="27" fillId="33" borderId="8" xfId="0" applyFont="1" applyFill="1" applyBorder="1"/>
    <xf numFmtId="0" fontId="36" fillId="0" borderId="17" xfId="0" applyFont="1" applyBorder="1" applyAlignment="1">
      <alignment horizontal="right"/>
    </xf>
    <xf numFmtId="0" fontId="25" fillId="33" borderId="11" xfId="0" applyFont="1" applyFill="1" applyBorder="1"/>
    <xf numFmtId="0" fontId="25" fillId="17" borderId="20" xfId="0" applyFont="1" applyFill="1" applyBorder="1"/>
    <xf numFmtId="0" fontId="23" fillId="33" borderId="7" xfId="0" applyFont="1" applyFill="1" applyBorder="1"/>
    <xf numFmtId="0" fontId="23" fillId="0" borderId="38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23" fillId="33" borderId="45" xfId="0" applyFont="1" applyFill="1" applyBorder="1"/>
    <xf numFmtId="0" fontId="23" fillId="33" borderId="46" xfId="0" applyFont="1" applyFill="1" applyBorder="1"/>
    <xf numFmtId="0" fontId="25" fillId="37" borderId="42" xfId="0" applyFont="1" applyFill="1" applyBorder="1"/>
    <xf numFmtId="0" fontId="23" fillId="37" borderId="47" xfId="0" applyFont="1" applyFill="1" applyBorder="1"/>
    <xf numFmtId="0" fontId="23" fillId="37" borderId="48" xfId="0" applyFont="1" applyFill="1" applyBorder="1"/>
    <xf numFmtId="0" fontId="23" fillId="35" borderId="45" xfId="0" applyFont="1" applyFill="1" applyBorder="1"/>
    <xf numFmtId="0" fontId="25" fillId="0" borderId="42" xfId="0" applyFont="1" applyBorder="1"/>
    <xf numFmtId="0" fontId="28" fillId="0" borderId="18" xfId="0" applyFont="1" applyBorder="1" applyAlignment="1">
      <alignment horizontal="left"/>
    </xf>
    <xf numFmtId="0" fontId="35" fillId="0" borderId="20" xfId="0" applyFont="1" applyBorder="1" applyAlignment="1">
      <alignment horizontal="right"/>
    </xf>
    <xf numFmtId="0" fontId="25" fillId="33" borderId="7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5" fillId="0" borderId="18" xfId="0" applyFont="1" applyBorder="1" applyAlignment="1">
      <alignment horizontal="left" vertical="top"/>
    </xf>
    <xf numFmtId="0" fontId="25" fillId="37" borderId="49" xfId="0" applyFont="1" applyFill="1" applyBorder="1" applyAlignment="1">
      <alignment horizontal="left" vertical="top"/>
    </xf>
    <xf numFmtId="0" fontId="25" fillId="16" borderId="11" xfId="0" applyFont="1" applyFill="1" applyBorder="1" applyAlignment="1">
      <alignment horizontal="left" vertical="top"/>
    </xf>
    <xf numFmtId="0" fontId="25" fillId="17" borderId="0" xfId="0" applyFont="1" applyFill="1" applyAlignment="1">
      <alignment horizontal="left" vertical="top"/>
    </xf>
    <xf numFmtId="0" fontId="0" fillId="17" borderId="43" xfId="0" applyFill="1" applyBorder="1" applyAlignment="1">
      <alignment horizontal="left" vertical="top"/>
    </xf>
    <xf numFmtId="0" fontId="25" fillId="33" borderId="50" xfId="0" applyFont="1" applyFill="1" applyBorder="1"/>
    <xf numFmtId="0" fontId="25" fillId="0" borderId="14" xfId="0" applyFont="1" applyBorder="1"/>
    <xf numFmtId="0" fontId="25" fillId="0" borderId="9" xfId="0" applyFont="1" applyBorder="1" applyAlignment="1">
      <alignment horizontal="left" vertical="top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right" vertical="top"/>
    </xf>
    <xf numFmtId="0" fontId="38" fillId="0" borderId="0" xfId="0" applyFont="1" applyAlignment="1">
      <alignment horizontal="right"/>
    </xf>
    <xf numFmtId="0" fontId="25" fillId="37" borderId="0" xfId="0" applyFont="1" applyFill="1"/>
    <xf numFmtId="0" fontId="25" fillId="0" borderId="20" xfId="0" applyFont="1" applyBorder="1" applyAlignment="1">
      <alignment vertical="top"/>
    </xf>
    <xf numFmtId="0" fontId="34" fillId="0" borderId="0" xfId="0" applyFont="1"/>
    <xf numFmtId="0" fontId="25" fillId="17" borderId="54" xfId="0" applyFont="1" applyFill="1" applyBorder="1"/>
    <xf numFmtId="0" fontId="36" fillId="0" borderId="18" xfId="0" applyFont="1" applyBorder="1" applyAlignment="1">
      <alignment horizontal="right"/>
    </xf>
    <xf numFmtId="0" fontId="25" fillId="37" borderId="23" xfId="0" applyFont="1" applyFill="1" applyBorder="1"/>
    <xf numFmtId="0" fontId="27" fillId="0" borderId="23" xfId="0" applyFont="1" applyBorder="1" applyAlignment="1">
      <alignment horizontal="left"/>
    </xf>
    <xf numFmtId="0" fontId="25" fillId="0" borderId="18" xfId="0" applyFont="1" applyBorder="1"/>
    <xf numFmtId="0" fontId="25" fillId="33" borderId="8" xfId="0" applyFont="1" applyFill="1" applyBorder="1"/>
    <xf numFmtId="0" fontId="19" fillId="0" borderId="0" xfId="0" applyFont="1" applyAlignment="1">
      <alignment horizontal="right"/>
    </xf>
    <xf numFmtId="0" fontId="28" fillId="0" borderId="7" xfId="0" applyFont="1" applyBorder="1" applyAlignment="1">
      <alignment horizontal="left"/>
    </xf>
    <xf numFmtId="0" fontId="28" fillId="16" borderId="56" xfId="0" applyFont="1" applyFill="1" applyBorder="1" applyAlignment="1">
      <alignment horizontal="center"/>
    </xf>
    <xf numFmtId="0" fontId="23" fillId="35" borderId="46" xfId="0" applyFont="1" applyFill="1" applyBorder="1"/>
    <xf numFmtId="0" fontId="25" fillId="16" borderId="54" xfId="0" applyFont="1" applyFill="1" applyBorder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5" fillId="37" borderId="9" xfId="0" applyFont="1" applyFill="1" applyBorder="1"/>
    <xf numFmtId="0" fontId="27" fillId="37" borderId="0" xfId="0" applyFont="1" applyFill="1"/>
    <xf numFmtId="0" fontId="45" fillId="0" borderId="0" xfId="0" applyFont="1"/>
    <xf numFmtId="0" fontId="46" fillId="0" borderId="0" xfId="0" applyFont="1"/>
    <xf numFmtId="0" fontId="25" fillId="0" borderId="9" xfId="0" applyFont="1" applyBorder="1" applyAlignment="1">
      <alignment vertical="top" wrapText="1"/>
    </xf>
    <xf numFmtId="0" fontId="25" fillId="33" borderId="54" xfId="0" applyFont="1" applyFill="1" applyBorder="1"/>
    <xf numFmtId="0" fontId="25" fillId="0" borderId="58" xfId="0" applyFont="1" applyBorder="1"/>
    <xf numFmtId="0" fontId="41" fillId="34" borderId="0" xfId="0" applyFont="1" applyFill="1"/>
    <xf numFmtId="0" fontId="28" fillId="34" borderId="0" xfId="0" applyFont="1" applyFill="1"/>
    <xf numFmtId="0" fontId="44" fillId="0" borderId="0" xfId="0" quotePrefix="1" applyFont="1"/>
    <xf numFmtId="0" fontId="27" fillId="0" borderId="1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20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7" fillId="17" borderId="9" xfId="0" applyFont="1" applyFill="1" applyBorder="1" applyAlignment="1">
      <alignment horizontal="left"/>
    </xf>
    <xf numFmtId="0" fontId="27" fillId="17" borderId="7" xfId="0" applyFont="1" applyFill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17" borderId="10" xfId="0" applyFont="1" applyFill="1" applyBorder="1" applyAlignment="1">
      <alignment horizontal="left"/>
    </xf>
    <xf numFmtId="0" fontId="27" fillId="0" borderId="22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9" xfId="0" applyFont="1" applyBorder="1" applyAlignment="1">
      <alignment horizontal="left"/>
    </xf>
    <xf numFmtId="0" fontId="27" fillId="37" borderId="9" xfId="0" applyFont="1" applyFill="1" applyBorder="1" applyAlignment="1">
      <alignment horizontal="left"/>
    </xf>
    <xf numFmtId="0" fontId="27" fillId="17" borderId="23" xfId="0" applyFont="1" applyFill="1" applyBorder="1" applyAlignment="1">
      <alignment horizontal="left"/>
    </xf>
    <xf numFmtId="0" fontId="27" fillId="17" borderId="42" xfId="0" applyFont="1" applyFill="1" applyBorder="1" applyAlignment="1">
      <alignment horizontal="left"/>
    </xf>
    <xf numFmtId="0" fontId="27" fillId="17" borderId="13" xfId="0" applyFont="1" applyFill="1" applyBorder="1" applyAlignment="1">
      <alignment horizontal="left"/>
    </xf>
    <xf numFmtId="0" fontId="36" fillId="0" borderId="20" xfId="0" applyFont="1" applyBorder="1" applyAlignment="1">
      <alignment horizontal="right"/>
    </xf>
    <xf numFmtId="0" fontId="27" fillId="18" borderId="9" xfId="0" applyFont="1" applyFill="1" applyBorder="1" applyAlignment="1">
      <alignment horizontal="left"/>
    </xf>
    <xf numFmtId="0" fontId="27" fillId="17" borderId="16" xfId="0" applyFont="1" applyFill="1" applyBorder="1" applyAlignment="1">
      <alignment horizontal="left" vertical="top"/>
    </xf>
    <xf numFmtId="0" fontId="27" fillId="0" borderId="23" xfId="0" applyFont="1" applyBorder="1" applyAlignment="1">
      <alignment horizontal="left" vertical="top"/>
    </xf>
    <xf numFmtId="0" fontId="32" fillId="17" borderId="24" xfId="0" applyFont="1" applyFill="1" applyBorder="1" applyAlignment="1">
      <alignment horizontal="left" vertical="top"/>
    </xf>
    <xf numFmtId="0" fontId="27" fillId="17" borderId="17" xfId="0" applyFont="1" applyFill="1" applyBorder="1" applyAlignment="1">
      <alignment horizontal="left" vertical="top"/>
    </xf>
    <xf numFmtId="0" fontId="32" fillId="17" borderId="41" xfId="0" applyFont="1" applyFill="1" applyBorder="1" applyAlignment="1">
      <alignment horizontal="left" vertical="top"/>
    </xf>
    <xf numFmtId="0" fontId="27" fillId="17" borderId="10" xfId="0" applyFont="1" applyFill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27" fillId="0" borderId="9" xfId="0" applyFont="1" applyBorder="1" applyAlignment="1">
      <alignment vertical="top"/>
    </xf>
    <xf numFmtId="0" fontId="27" fillId="33" borderId="9" xfId="0" applyFont="1" applyFill="1" applyBorder="1" applyAlignment="1">
      <alignment horizontal="left"/>
    </xf>
    <xf numFmtId="0" fontId="27" fillId="33" borderId="0" xfId="0" applyFont="1" applyFill="1" applyAlignment="1">
      <alignment vertical="top"/>
    </xf>
    <xf numFmtId="0" fontId="27" fillId="17" borderId="39" xfId="0" applyFont="1" applyFill="1" applyBorder="1"/>
    <xf numFmtId="0" fontId="27" fillId="0" borderId="0" xfId="0" applyFont="1" applyAlignment="1">
      <alignment vertical="top"/>
    </xf>
    <xf numFmtId="0" fontId="27" fillId="16" borderId="6" xfId="0" applyFont="1" applyFill="1" applyBorder="1"/>
    <xf numFmtId="0" fontId="27" fillId="37" borderId="9" xfId="0" applyFont="1" applyFill="1" applyBorder="1"/>
    <xf numFmtId="0" fontId="27" fillId="17" borderId="23" xfId="0" applyFont="1" applyFill="1" applyBorder="1"/>
    <xf numFmtId="0" fontId="27" fillId="33" borderId="23" xfId="0" applyFont="1" applyFill="1" applyBorder="1"/>
    <xf numFmtId="0" fontId="47" fillId="0" borderId="0" xfId="0" applyFont="1"/>
    <xf numFmtId="0" fontId="27" fillId="0" borderId="0" xfId="0" applyFont="1" applyAlignment="1">
      <alignment horizontal="right"/>
    </xf>
    <xf numFmtId="0" fontId="27" fillId="34" borderId="0" xfId="0" applyFont="1" applyFill="1"/>
    <xf numFmtId="0" fontId="27" fillId="0" borderId="0" xfId="0" applyFont="1" applyAlignment="1">
      <alignment horizontal="left" vertical="top"/>
    </xf>
    <xf numFmtId="0" fontId="32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27" fillId="0" borderId="15" xfId="0" applyFont="1" applyBorder="1" applyAlignment="1">
      <alignment horizontal="left"/>
    </xf>
    <xf numFmtId="0" fontId="36" fillId="0" borderId="21" xfId="0" applyFont="1" applyBorder="1" applyAlignment="1">
      <alignment horizontal="right"/>
    </xf>
    <xf numFmtId="0" fontId="27" fillId="0" borderId="11" xfId="0" applyFont="1" applyBorder="1" applyAlignment="1">
      <alignment vertical="top"/>
    </xf>
    <xf numFmtId="0" fontId="27" fillId="0" borderId="7" xfId="0" applyFont="1" applyBorder="1" applyAlignment="1">
      <alignment vertical="top"/>
    </xf>
    <xf numFmtId="0" fontId="27" fillId="33" borderId="12" xfId="0" applyFont="1" applyFill="1" applyBorder="1"/>
    <xf numFmtId="0" fontId="27" fillId="33" borderId="43" xfId="0" applyFont="1" applyFill="1" applyBorder="1"/>
    <xf numFmtId="0" fontId="27" fillId="17" borderId="11" xfId="0" applyFont="1" applyFill="1" applyBorder="1"/>
    <xf numFmtId="0" fontId="27" fillId="17" borderId="0" xfId="0" applyFont="1" applyFill="1"/>
    <xf numFmtId="0" fontId="27" fillId="17" borderId="12" xfId="0" applyFont="1" applyFill="1" applyBorder="1"/>
    <xf numFmtId="0" fontId="27" fillId="0" borderId="10" xfId="0" applyFont="1" applyBorder="1" applyAlignment="1">
      <alignment vertical="top"/>
    </xf>
    <xf numFmtId="0" fontId="36" fillId="0" borderId="38" xfId="0" applyFont="1" applyBorder="1"/>
    <xf numFmtId="0" fontId="27" fillId="0" borderId="38" xfId="0" applyFont="1" applyBorder="1"/>
    <xf numFmtId="0" fontId="27" fillId="35" borderId="51" xfId="0" applyFont="1" applyFill="1" applyBorder="1"/>
    <xf numFmtId="0" fontId="27" fillId="35" borderId="45" xfId="0" applyFont="1" applyFill="1" applyBorder="1"/>
    <xf numFmtId="0" fontId="27" fillId="35" borderId="39" xfId="0" applyFont="1" applyFill="1" applyBorder="1"/>
    <xf numFmtId="0" fontId="27" fillId="16" borderId="7" xfId="0" applyFont="1" applyFill="1" applyBorder="1" applyAlignment="1">
      <alignment horizontal="left" vertical="top"/>
    </xf>
    <xf numFmtId="0" fontId="48" fillId="0" borderId="20" xfId="0" applyFont="1" applyBorder="1" applyAlignment="1">
      <alignment horizontal="right"/>
    </xf>
    <xf numFmtId="0" fontId="27" fillId="16" borderId="8" xfId="0" applyFont="1" applyFill="1" applyBorder="1" applyAlignment="1">
      <alignment horizontal="left" vertical="top"/>
    </xf>
    <xf numFmtId="0" fontId="27" fillId="16" borderId="6" xfId="0" applyFont="1" applyFill="1" applyBorder="1" applyAlignment="1">
      <alignment horizontal="left" vertical="top"/>
    </xf>
    <xf numFmtId="0" fontId="27" fillId="18" borderId="8" xfId="0" applyFont="1" applyFill="1" applyBorder="1" applyAlignment="1">
      <alignment horizontal="left"/>
    </xf>
    <xf numFmtId="0" fontId="27" fillId="16" borderId="9" xfId="0" applyFont="1" applyFill="1" applyBorder="1" applyAlignment="1">
      <alignment horizontal="left" vertical="top"/>
    </xf>
    <xf numFmtId="0" fontId="27" fillId="16" borderId="10" xfId="0" applyFont="1" applyFill="1" applyBorder="1" applyAlignment="1">
      <alignment horizontal="left" vertical="top"/>
    </xf>
    <xf numFmtId="0" fontId="32" fillId="0" borderId="13" xfId="0" applyFont="1" applyBorder="1" applyAlignment="1">
      <alignment horizontal="left" vertical="top"/>
    </xf>
    <xf numFmtId="0" fontId="49" fillId="0" borderId="0" xfId="0" applyFont="1" applyAlignment="1">
      <alignment horizontal="right"/>
    </xf>
    <xf numFmtId="0" fontId="36" fillId="0" borderId="11" xfId="0" applyFont="1" applyBorder="1"/>
    <xf numFmtId="0" fontId="36" fillId="33" borderId="7" xfId="0" applyFont="1" applyFill="1" applyBorder="1"/>
    <xf numFmtId="0" fontId="27" fillId="16" borderId="54" xfId="0" applyFont="1" applyFill="1" applyBorder="1"/>
    <xf numFmtId="0" fontId="36" fillId="0" borderId="22" xfId="0" applyFont="1" applyBorder="1"/>
    <xf numFmtId="0" fontId="36" fillId="0" borderId="12" xfId="0" applyFont="1" applyBorder="1"/>
    <xf numFmtId="0" fontId="36" fillId="33" borderId="10" xfId="0" applyFont="1" applyFill="1" applyBorder="1"/>
    <xf numFmtId="0" fontId="27" fillId="16" borderId="14" xfId="0" applyFont="1" applyFill="1" applyBorder="1"/>
    <xf numFmtId="0" fontId="27" fillId="0" borderId="8" xfId="0" applyFont="1" applyBorder="1" applyAlignment="1">
      <alignment vertical="top"/>
    </xf>
    <xf numFmtId="0" fontId="27" fillId="0" borderId="8" xfId="0" applyFont="1" applyBorder="1" applyAlignment="1">
      <alignment vertical="top" wrapText="1"/>
    </xf>
    <xf numFmtId="0" fontId="27" fillId="36" borderId="13" xfId="0" applyFont="1" applyFill="1" applyBorder="1"/>
    <xf numFmtId="0" fontId="27" fillId="33" borderId="13" xfId="0" applyFont="1" applyFill="1" applyBorder="1" applyAlignment="1">
      <alignment vertical="top" wrapText="1"/>
    </xf>
    <xf numFmtId="0" fontId="48" fillId="0" borderId="0" xfId="0" applyFont="1" applyAlignment="1">
      <alignment horizontal="right"/>
    </xf>
    <xf numFmtId="0" fontId="27" fillId="0" borderId="9" xfId="0" applyFont="1" applyBorder="1" applyAlignment="1">
      <alignment wrapText="1"/>
    </xf>
    <xf numFmtId="3" fontId="27" fillId="16" borderId="9" xfId="0" applyNumberFormat="1" applyFont="1" applyFill="1" applyBorder="1"/>
    <xf numFmtId="3" fontId="27" fillId="16" borderId="0" xfId="0" applyNumberFormat="1" applyFont="1" applyFill="1"/>
    <xf numFmtId="0" fontId="27" fillId="16" borderId="32" xfId="0" applyFont="1" applyFill="1" applyBorder="1" applyAlignment="1">
      <alignment vertical="top"/>
    </xf>
    <xf numFmtId="0" fontId="27" fillId="16" borderId="33" xfId="0" applyFont="1" applyFill="1" applyBorder="1"/>
    <xf numFmtId="0" fontId="27" fillId="16" borderId="34" xfId="0" applyFont="1" applyFill="1" applyBorder="1"/>
    <xf numFmtId="0" fontId="27" fillId="16" borderId="35" xfId="0" applyFont="1" applyFill="1" applyBorder="1"/>
    <xf numFmtId="0" fontId="27" fillId="16" borderId="36" xfId="0" applyFont="1" applyFill="1" applyBorder="1"/>
    <xf numFmtId="0" fontId="27" fillId="16" borderId="37" xfId="0" applyFont="1" applyFill="1" applyBorder="1"/>
    <xf numFmtId="0" fontId="27" fillId="33" borderId="20" xfId="0" applyFont="1" applyFill="1" applyBorder="1"/>
    <xf numFmtId="0" fontId="27" fillId="17" borderId="22" xfId="0" applyFont="1" applyFill="1" applyBorder="1"/>
    <xf numFmtId="0" fontId="27" fillId="16" borderId="52" xfId="0" applyFont="1" applyFill="1" applyBorder="1"/>
    <xf numFmtId="0" fontId="27" fillId="16" borderId="53" xfId="0" applyFont="1" applyFill="1" applyBorder="1"/>
    <xf numFmtId="0" fontId="27" fillId="17" borderId="54" xfId="0" applyFont="1" applyFill="1" applyBorder="1"/>
    <xf numFmtId="0" fontId="25" fillId="16" borderId="54" xfId="0" applyFont="1" applyFill="1" applyBorder="1" applyAlignment="1">
      <alignment horizontal="left" vertical="top"/>
    </xf>
    <xf numFmtId="0" fontId="27" fillId="17" borderId="54" xfId="0" applyFont="1" applyFill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5" fillId="17" borderId="23" xfId="0" applyFont="1" applyFill="1" applyBorder="1"/>
    <xf numFmtId="0" fontId="27" fillId="0" borderId="39" xfId="0" applyFont="1" applyBorder="1"/>
    <xf numFmtId="0" fontId="27" fillId="0" borderId="6" xfId="0" applyFont="1" applyBorder="1"/>
    <xf numFmtId="0" fontId="25" fillId="17" borderId="20" xfId="0" applyFont="1" applyFill="1" applyBorder="1" applyAlignment="1">
      <alignment horizontal="left"/>
    </xf>
    <xf numFmtId="0" fontId="37" fillId="0" borderId="0" xfId="0" applyFont="1"/>
    <xf numFmtId="0" fontId="25" fillId="16" borderId="60" xfId="0" applyFont="1" applyFill="1" applyBorder="1"/>
    <xf numFmtId="0" fontId="25" fillId="17" borderId="60" xfId="0" applyFont="1" applyFill="1" applyBorder="1"/>
    <xf numFmtId="0" fontId="25" fillId="0" borderId="60" xfId="0" applyFont="1" applyBorder="1"/>
    <xf numFmtId="0" fontId="27" fillId="16" borderId="60" xfId="0" applyFont="1" applyFill="1" applyBorder="1"/>
    <xf numFmtId="0" fontId="27" fillId="0" borderId="60" xfId="0" applyFont="1" applyBorder="1"/>
    <xf numFmtId="0" fontId="25" fillId="33" borderId="60" xfId="0" applyFont="1" applyFill="1" applyBorder="1"/>
    <xf numFmtId="0" fontId="27" fillId="33" borderId="60" xfId="0" applyFont="1" applyFill="1" applyBorder="1"/>
    <xf numFmtId="0" fontId="27" fillId="0" borderId="25" xfId="0" applyFont="1" applyBorder="1"/>
    <xf numFmtId="0" fontId="23" fillId="33" borderId="60" xfId="0" applyFont="1" applyFill="1" applyBorder="1"/>
    <xf numFmtId="0" fontId="25" fillId="0" borderId="60" xfId="0" applyFont="1" applyBorder="1" applyAlignment="1">
      <alignment vertical="top"/>
    </xf>
    <xf numFmtId="0" fontId="23" fillId="0" borderId="60" xfId="0" applyFont="1" applyBorder="1"/>
    <xf numFmtId="0" fontId="25" fillId="17" borderId="60" xfId="0" applyFont="1" applyFill="1" applyBorder="1" applyAlignment="1">
      <alignment horizontal="left"/>
    </xf>
    <xf numFmtId="0" fontId="25" fillId="16" borderId="60" xfId="0" applyFont="1" applyFill="1" applyBorder="1" applyAlignment="1">
      <alignment horizontal="left" vertical="top"/>
    </xf>
    <xf numFmtId="0" fontId="25" fillId="0" borderId="60" xfId="0" applyFont="1" applyBorder="1" applyAlignment="1">
      <alignment horizontal="left"/>
    </xf>
    <xf numFmtId="0" fontId="25" fillId="33" borderId="60" xfId="0" applyFont="1" applyFill="1" applyBorder="1" applyAlignment="1">
      <alignment horizontal="left"/>
    </xf>
    <xf numFmtId="0" fontId="25" fillId="17" borderId="60" xfId="0" applyFont="1" applyFill="1" applyBorder="1" applyAlignment="1">
      <alignment horizontal="left" vertical="top"/>
    </xf>
    <xf numFmtId="0" fontId="25" fillId="0" borderId="60" xfId="0" applyFont="1" applyBorder="1" applyAlignment="1">
      <alignment horizontal="left" vertical="top"/>
    </xf>
    <xf numFmtId="0" fontId="25" fillId="0" borderId="55" xfId="0" applyFont="1" applyBorder="1"/>
    <xf numFmtId="0" fontId="25" fillId="17" borderId="7" xfId="0" applyFont="1" applyFill="1" applyBorder="1"/>
    <xf numFmtId="0" fontId="27" fillId="0" borderId="60" xfId="0" applyFont="1" applyBorder="1" applyAlignment="1">
      <alignment vertical="top"/>
    </xf>
    <xf numFmtId="0" fontId="25" fillId="16" borderId="9" xfId="0" applyFont="1" applyFill="1" applyBorder="1" applyAlignment="1">
      <alignment vertical="top"/>
    </xf>
    <xf numFmtId="0" fontId="25" fillId="0" borderId="21" xfId="0" applyFont="1" applyBorder="1" applyAlignment="1">
      <alignment vertical="top"/>
    </xf>
    <xf numFmtId="0" fontId="36" fillId="0" borderId="19" xfId="0" applyFont="1" applyBorder="1" applyAlignment="1">
      <alignment horizontal="right"/>
    </xf>
    <xf numFmtId="0" fontId="27" fillId="0" borderId="11" xfId="0" applyFont="1" applyBorder="1" applyAlignment="1">
      <alignment horizontal="left" vertical="top"/>
    </xf>
    <xf numFmtId="0" fontId="32" fillId="0" borderId="20" xfId="0" applyFont="1" applyBorder="1" applyAlignment="1">
      <alignment horizontal="left" vertical="top"/>
    </xf>
    <xf numFmtId="0" fontId="27" fillId="0" borderId="61" xfId="0" applyFont="1" applyBorder="1" applyAlignment="1">
      <alignment horizontal="left" vertical="top"/>
    </xf>
    <xf numFmtId="0" fontId="27" fillId="0" borderId="62" xfId="0" applyFont="1" applyBorder="1" applyAlignment="1">
      <alignment horizontal="left" vertical="top"/>
    </xf>
    <xf numFmtId="0" fontId="32" fillId="0" borderId="63" xfId="0" applyFont="1" applyBorder="1" applyAlignment="1">
      <alignment horizontal="left" vertical="top"/>
    </xf>
    <xf numFmtId="0" fontId="27" fillId="0" borderId="54" xfId="0" applyFont="1" applyBorder="1"/>
    <xf numFmtId="0" fontId="27" fillId="0" borderId="63" xfId="0" applyFont="1" applyBorder="1"/>
    <xf numFmtId="0" fontId="27" fillId="0" borderId="62" xfId="0" applyFont="1" applyBorder="1"/>
    <xf numFmtId="0" fontId="36" fillId="0" borderId="62" xfId="0" applyFont="1" applyBorder="1" applyAlignment="1">
      <alignment horizontal="right"/>
    </xf>
    <xf numFmtId="0" fontId="27" fillId="0" borderId="63" xfId="0" applyFont="1" applyBorder="1" applyAlignment="1">
      <alignment horizontal="left"/>
    </xf>
    <xf numFmtId="0" fontId="27" fillId="0" borderId="0" xfId="0" applyFont="1" applyAlignment="1">
      <alignment vertical="top" wrapText="1"/>
    </xf>
    <xf numFmtId="0" fontId="27" fillId="0" borderId="20" xfId="0" applyFont="1" applyBorder="1" applyAlignment="1">
      <alignment vertical="top" wrapText="1"/>
    </xf>
    <xf numFmtId="0" fontId="27" fillId="0" borderId="61" xfId="0" applyFont="1" applyBorder="1"/>
    <xf numFmtId="0" fontId="27" fillId="0" borderId="62" xfId="0" applyFont="1" applyBorder="1" applyAlignment="1">
      <alignment vertical="top"/>
    </xf>
    <xf numFmtId="0" fontId="27" fillId="0" borderId="63" xfId="0" applyFont="1" applyBorder="1" applyAlignment="1">
      <alignment vertical="top" wrapText="1"/>
    </xf>
    <xf numFmtId="0" fontId="25" fillId="0" borderId="11" xfId="0" applyFont="1" applyBorder="1" applyAlignment="1">
      <alignment horizontal="left" vertical="top"/>
    </xf>
    <xf numFmtId="0" fontId="26" fillId="0" borderId="11" xfId="0" applyFont="1" applyBorder="1" applyAlignment="1">
      <alignment horizontal="left"/>
    </xf>
    <xf numFmtId="0" fontId="27" fillId="33" borderId="62" xfId="0" applyFont="1" applyFill="1" applyBorder="1"/>
    <xf numFmtId="0" fontId="27" fillId="34" borderId="7" xfId="0" applyFont="1" applyFill="1" applyBorder="1" applyAlignment="1">
      <alignment horizontal="left"/>
    </xf>
    <xf numFmtId="0" fontId="27" fillId="34" borderId="23" xfId="0" applyFont="1" applyFill="1" applyBorder="1" applyAlignment="1">
      <alignment horizontal="left" vertical="top"/>
    </xf>
    <xf numFmtId="0" fontId="27" fillId="34" borderId="7" xfId="0" applyFont="1" applyFill="1" applyBorder="1" applyAlignment="1">
      <alignment horizontal="left" vertical="top"/>
    </xf>
    <xf numFmtId="0" fontId="27" fillId="34" borderId="23" xfId="0" applyFont="1" applyFill="1" applyBorder="1"/>
    <xf numFmtId="0" fontId="27" fillId="34" borderId="7" xfId="0" applyFont="1" applyFill="1" applyBorder="1"/>
    <xf numFmtId="0" fontId="27" fillId="34" borderId="7" xfId="0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50" fillId="0" borderId="0" xfId="0" applyFont="1"/>
    <xf numFmtId="0" fontId="50" fillId="0" borderId="0" xfId="0" applyFont="1" applyAlignment="1">
      <alignment vertical="top"/>
    </xf>
    <xf numFmtId="0" fontId="50" fillId="0" borderId="11" xfId="0" applyFont="1" applyBorder="1"/>
    <xf numFmtId="0" fontId="50" fillId="0" borderId="0" xfId="0" applyFont="1" applyAlignment="1">
      <alignment horizontal="right"/>
    </xf>
    <xf numFmtId="0" fontId="51" fillId="34" borderId="0" xfId="0" applyFont="1" applyFill="1"/>
    <xf numFmtId="0" fontId="51" fillId="34" borderId="57" xfId="0" applyFont="1" applyFill="1" applyBorder="1"/>
    <xf numFmtId="0" fontId="50" fillId="0" borderId="0" xfId="0" quotePrefix="1" applyFont="1"/>
    <xf numFmtId="0" fontId="36" fillId="34" borderId="0" xfId="0" applyFont="1" applyFill="1"/>
    <xf numFmtId="0" fontId="52" fillId="0" borderId="0" xfId="0" applyFont="1"/>
    <xf numFmtId="0" fontId="25" fillId="0" borderId="7" xfId="0" applyFont="1" applyBorder="1" applyAlignment="1">
      <alignment vertical="top" wrapText="1"/>
    </xf>
    <xf numFmtId="0" fontId="27" fillId="33" borderId="54" xfId="0" applyFont="1" applyFill="1" applyBorder="1"/>
    <xf numFmtId="0" fontId="27" fillId="17" borderId="60" xfId="0" applyFont="1" applyFill="1" applyBorder="1" applyAlignment="1">
      <alignment horizontal="left"/>
    </xf>
    <xf numFmtId="0" fontId="27" fillId="17" borderId="7" xfId="0" applyFont="1" applyFill="1" applyBorder="1" applyAlignment="1">
      <alignment horizontal="left" vertical="top"/>
    </xf>
    <xf numFmtId="0" fontId="32" fillId="17" borderId="63" xfId="0" applyFont="1" applyFill="1" applyBorder="1" applyAlignment="1">
      <alignment horizontal="left" vertical="top"/>
    </xf>
    <xf numFmtId="0" fontId="25" fillId="0" borderId="54" xfId="0" applyFont="1" applyBorder="1"/>
    <xf numFmtId="0" fontId="25" fillId="0" borderId="16" xfId="0" applyFont="1" applyBorder="1"/>
    <xf numFmtId="0" fontId="25" fillId="0" borderId="8" xfId="0" applyFont="1" applyBorder="1" applyAlignment="1">
      <alignment vertical="top" wrapText="1"/>
    </xf>
    <xf numFmtId="0" fontId="27" fillId="17" borderId="60" xfId="0" applyFont="1" applyFill="1" applyBorder="1"/>
    <xf numFmtId="0" fontId="27" fillId="34" borderId="10" xfId="0" applyFont="1" applyFill="1" applyBorder="1" applyAlignment="1">
      <alignment vertical="top"/>
    </xf>
    <xf numFmtId="0" fontId="27" fillId="33" borderId="0" xfId="0" applyFont="1" applyFill="1"/>
    <xf numFmtId="0" fontId="53" fillId="0" borderId="0" xfId="0" applyFont="1" applyAlignment="1">
      <alignment vertical="center"/>
    </xf>
    <xf numFmtId="0" fontId="25" fillId="34" borderId="23" xfId="0" applyFont="1" applyFill="1" applyBorder="1"/>
    <xf numFmtId="0" fontId="25" fillId="34" borderId="7" xfId="0" applyFont="1" applyFill="1" applyBorder="1"/>
    <xf numFmtId="0" fontId="27" fillId="34" borderId="60" xfId="0" applyFont="1" applyFill="1" applyBorder="1"/>
    <xf numFmtId="0" fontId="25" fillId="34" borderId="20" xfId="0" applyFont="1" applyFill="1" applyBorder="1"/>
    <xf numFmtId="0" fontId="25" fillId="34" borderId="60" xfId="0" applyFont="1" applyFill="1" applyBorder="1" applyAlignment="1">
      <alignment vertical="top"/>
    </xf>
    <xf numFmtId="0" fontId="25" fillId="34" borderId="7" xfId="0" applyFont="1" applyFill="1" applyBorder="1" applyAlignment="1">
      <alignment vertical="top"/>
    </xf>
    <xf numFmtId="0" fontId="25" fillId="34" borderId="7" xfId="0" applyFont="1" applyFill="1" applyBorder="1" applyAlignment="1">
      <alignment horizontal="left" vertical="top"/>
    </xf>
    <xf numFmtId="0" fontId="25" fillId="34" borderId="7" xfId="0" applyFont="1" applyFill="1" applyBorder="1" applyAlignment="1">
      <alignment horizontal="left"/>
    </xf>
    <xf numFmtId="0" fontId="25" fillId="34" borderId="60" xfId="0" applyFont="1" applyFill="1" applyBorder="1"/>
    <xf numFmtId="0" fontId="25" fillId="17" borderId="63" xfId="0" applyFont="1" applyFill="1" applyBorder="1"/>
    <xf numFmtId="0" fontId="27" fillId="0" borderId="64" xfId="0" applyFont="1" applyBorder="1"/>
    <xf numFmtId="0" fontId="46" fillId="0" borderId="0" xfId="0" applyFont="1" applyAlignment="1">
      <alignment horizontal="right"/>
    </xf>
    <xf numFmtId="0" fontId="36" fillId="34" borderId="64" xfId="0" applyFont="1" applyFill="1" applyBorder="1"/>
    <xf numFmtId="0" fontId="36" fillId="34" borderId="57" xfId="0" applyFont="1" applyFill="1" applyBorder="1"/>
    <xf numFmtId="0" fontId="44" fillId="0" borderId="64" xfId="0" applyFont="1" applyBorder="1"/>
    <xf numFmtId="0" fontId="44" fillId="0" borderId="64" xfId="0" quotePrefix="1" applyFont="1" applyBorder="1"/>
    <xf numFmtId="0" fontId="27" fillId="33" borderId="63" xfId="0" applyFont="1" applyFill="1" applyBorder="1"/>
    <xf numFmtId="0" fontId="27" fillId="16" borderId="61" xfId="0" applyFont="1" applyFill="1" applyBorder="1"/>
    <xf numFmtId="0" fontId="25" fillId="36" borderId="61" xfId="0" applyFont="1" applyFill="1" applyBorder="1"/>
    <xf numFmtId="0" fontId="44" fillId="34" borderId="0" xfId="0" applyFont="1" applyFill="1"/>
    <xf numFmtId="0" fontId="23" fillId="33" borderId="62" xfId="0" applyFont="1" applyFill="1" applyBorder="1"/>
    <xf numFmtId="0" fontId="25" fillId="16" borderId="61" xfId="0" applyFont="1" applyFill="1" applyBorder="1"/>
    <xf numFmtId="0" fontId="25" fillId="0" borderId="61" xfId="0" applyFont="1" applyBorder="1"/>
    <xf numFmtId="0" fontId="25" fillId="0" borderId="62" xfId="0" applyFont="1" applyBorder="1"/>
    <xf numFmtId="0" fontId="25" fillId="0" borderId="63" xfId="0" applyFont="1" applyBorder="1"/>
    <xf numFmtId="0" fontId="25" fillId="33" borderId="62" xfId="0" applyFont="1" applyFill="1" applyBorder="1"/>
    <xf numFmtId="0" fontId="25" fillId="17" borderId="61" xfId="0" applyFont="1" applyFill="1" applyBorder="1"/>
    <xf numFmtId="0" fontId="23" fillId="33" borderId="63" xfId="0" applyFont="1" applyFill="1" applyBorder="1"/>
    <xf numFmtId="0" fontId="25" fillId="0" borderId="62" xfId="0" applyFont="1" applyBorder="1" applyAlignment="1">
      <alignment horizontal="left"/>
    </xf>
    <xf numFmtId="0" fontId="25" fillId="0" borderId="63" xfId="0" applyFont="1" applyBorder="1" applyAlignment="1">
      <alignment horizontal="left"/>
    </xf>
    <xf numFmtId="0" fontId="25" fillId="0" borderId="61" xfId="0" applyFont="1" applyBorder="1" applyAlignment="1">
      <alignment horizontal="left"/>
    </xf>
    <xf numFmtId="0" fontId="54" fillId="0" borderId="0" xfId="0" applyFont="1" applyAlignment="1">
      <alignment vertical="center" wrapText="1"/>
    </xf>
    <xf numFmtId="0" fontId="25" fillId="17" borderId="63" xfId="0" applyFont="1" applyFill="1" applyBorder="1" applyAlignment="1">
      <alignment horizontal="left"/>
    </xf>
    <xf numFmtId="0" fontId="25" fillId="16" borderId="61" xfId="0" applyFont="1" applyFill="1" applyBorder="1" applyAlignment="1">
      <alignment horizontal="left" vertical="top"/>
    </xf>
    <xf numFmtId="16" fontId="25" fillId="0" borderId="0" xfId="0" applyNumberFormat="1" applyFont="1"/>
    <xf numFmtId="0" fontId="0" fillId="17" borderId="63" xfId="0" applyFill="1" applyBorder="1" applyAlignment="1">
      <alignment horizontal="left" vertical="top"/>
    </xf>
    <xf numFmtId="0" fontId="25" fillId="0" borderId="18" xfId="0" applyFont="1" applyBorder="1" applyAlignment="1">
      <alignment horizontal="right"/>
    </xf>
    <xf numFmtId="0" fontId="0" fillId="0" borderId="20" xfId="0" applyBorder="1" applyAlignment="1">
      <alignment horizontal="left" vertical="top"/>
    </xf>
    <xf numFmtId="0" fontId="27" fillId="34" borderId="54" xfId="0" applyFont="1" applyFill="1" applyBorder="1"/>
    <xf numFmtId="0" fontId="25" fillId="34" borderId="54" xfId="0" applyFont="1" applyFill="1" applyBorder="1"/>
    <xf numFmtId="0" fontId="25" fillId="0" borderId="54" xfId="0" applyFont="1" applyBorder="1" applyAlignment="1">
      <alignment horizontal="left"/>
    </xf>
    <xf numFmtId="0" fontId="25" fillId="17" borderId="54" xfId="0" applyFont="1" applyFill="1" applyBorder="1" applyAlignment="1">
      <alignment horizontal="left"/>
    </xf>
    <xf numFmtId="0" fontId="27" fillId="0" borderId="54" xfId="0" applyFont="1" applyBorder="1" applyAlignment="1">
      <alignment horizontal="left"/>
    </xf>
    <xf numFmtId="0" fontId="25" fillId="17" borderId="7" xfId="0" applyFont="1" applyFill="1" applyBorder="1" applyAlignment="1">
      <alignment horizontal="left" vertical="top"/>
    </xf>
    <xf numFmtId="0" fontId="25" fillId="37" borderId="7" xfId="0" applyFont="1" applyFill="1" applyBorder="1" applyAlignment="1">
      <alignment horizontal="left" vertical="top"/>
    </xf>
    <xf numFmtId="17" fontId="39" fillId="0" borderId="5" xfId="0" quotePrefix="1" applyNumberFormat="1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7" fontId="40" fillId="0" borderId="5" xfId="0" quotePrefix="1" applyNumberFormat="1" applyFont="1" applyBorder="1" applyAlignment="1">
      <alignment horizontal="center"/>
    </xf>
    <xf numFmtId="0" fontId="40" fillId="0" borderId="5" xfId="0" applyFont="1" applyBorder="1" applyAlignment="1">
      <alignment horizontal="center"/>
    </xf>
  </cellXfs>
  <cellStyles count="9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94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90" builtinId="9" hidden="1"/>
    <cellStyle name="Followed Hyperlink" xfId="92" builtinId="9" hidden="1"/>
    <cellStyle name="Followed Hyperlink" xfId="44" builtinId="9" hidden="1"/>
    <cellStyle name="Followed Hyperlink" xfId="88" builtinId="9" hidden="1"/>
    <cellStyle name="Followed Hyperlink" xfId="80" builtinId="9" hidden="1"/>
    <cellStyle name="Followed Hyperlink" xfId="72" builtinId="9" hidden="1"/>
    <cellStyle name="Followed Hyperlink" xfId="64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56" builtinId="9" hidden="1"/>
    <cellStyle name="Followed Hyperlink" xfId="48" builtinId="9" hidden="1"/>
    <cellStyle name="Followed Hyperlink" xfId="50" builtinId="9" hidden="1"/>
    <cellStyle name="Followed Hyperlink" xfId="46" builtinId="9" hidden="1"/>
    <cellStyle name="Followed Hyperlink" xfId="66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3 2" xfId="95" xr:uid="{0E9AED60-E358-481E-82B9-559A60BF0331}"/>
    <cellStyle name="Heading 4" xfId="33" builtinId="19" customBuiltin="1"/>
    <cellStyle name="Hyperlink" xfId="67" builtinId="8" hidden="1"/>
    <cellStyle name="Hyperlink" xfId="93" builtinId="8" hidden="1"/>
    <cellStyle name="Hyperlink" xfId="89" builtinId="8" hidden="1"/>
    <cellStyle name="Hyperlink" xfId="85" builtinId="8" hidden="1"/>
    <cellStyle name="Hyperlink" xfId="91" builtinId="8" hidden="1"/>
    <cellStyle name="Hyperlink" xfId="61" builtinId="8" hidden="1"/>
    <cellStyle name="Hyperlink" xfId="73" builtinId="8" hidden="1"/>
    <cellStyle name="Hyperlink" xfId="75" builtinId="8" hidden="1"/>
    <cellStyle name="Hyperlink" xfId="51" builtinId="8" hidden="1"/>
    <cellStyle name="Hyperlink" xfId="69" builtinId="8" hidden="1"/>
    <cellStyle name="Hyperlink" xfId="83" builtinId="8" hidden="1"/>
    <cellStyle name="Hyperlink" xfId="71" builtinId="8" hidden="1"/>
    <cellStyle name="Hyperlink" xfId="87" builtinId="8" hidden="1"/>
    <cellStyle name="Hyperlink" xfId="79" builtinId="8" hidden="1"/>
    <cellStyle name="Hyperlink" xfId="55" builtinId="8" hidden="1"/>
    <cellStyle name="Hyperlink" xfId="57" builtinId="8" hidden="1"/>
    <cellStyle name="Hyperlink" xfId="81" builtinId="8" hidden="1"/>
    <cellStyle name="Hyperlink" xfId="47" builtinId="8" hidden="1"/>
    <cellStyle name="Hyperlink" xfId="53" builtinId="8" hidden="1"/>
    <cellStyle name="Hyperlink" xfId="63" builtinId="8" hidden="1"/>
    <cellStyle name="Hyperlink" xfId="65" builtinId="8" hidden="1"/>
    <cellStyle name="Hyperlink" xfId="77" builtinId="8" hidden="1"/>
    <cellStyle name="Hyperlink" xfId="45" builtinId="8" hidden="1"/>
    <cellStyle name="Hyperlink" xfId="43" builtinId="8" hidden="1"/>
    <cellStyle name="Hyperlink" xfId="49" builtinId="8" hidden="1"/>
    <cellStyle name="Hyperlink" xfId="59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Note 2" xfId="38" xr:uid="{00000000-0005-0000-0000-00005A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3"/>
  <sheetViews>
    <sheetView zoomScale="89" zoomScaleNormal="89" zoomScalePageLayoutView="150" workbookViewId="0">
      <pane xSplit="1" topLeftCell="C1" activePane="topRight" state="frozen"/>
      <selection activeCell="A21" sqref="A21"/>
      <selection pane="topRight"/>
    </sheetView>
  </sheetViews>
  <sheetFormatPr defaultColWidth="8.7109375" defaultRowHeight="12"/>
  <cols>
    <col min="1" max="1" width="15.7109375" style="2" bestFit="1" customWidth="1"/>
    <col min="2" max="8" width="18.7109375" style="2" customWidth="1"/>
    <col min="9" max="9" width="8.28515625" style="339" customWidth="1"/>
    <col min="10" max="10" width="9.140625" style="339" hidden="1" customWidth="1"/>
    <col min="11" max="11" width="20.28515625" style="339" hidden="1" customWidth="1"/>
    <col min="12" max="12" width="11.7109375" style="339" hidden="1" customWidth="1"/>
    <col min="13" max="21" width="0" style="339" hidden="1" customWidth="1"/>
    <col min="22" max="22" width="0.140625" style="339" hidden="1" customWidth="1"/>
    <col min="23" max="24" width="8.7109375" style="347"/>
    <col min="25" max="25" width="15.140625" style="347" customWidth="1"/>
    <col min="26" max="31" width="8.7109375" style="347"/>
    <col min="32" max="37" width="8.7109375" style="3"/>
    <col min="38" max="38" width="8.7109375" style="4"/>
    <col min="39" max="16384" width="8.7109375" style="2"/>
  </cols>
  <sheetData>
    <row r="1" spans="1:31" ht="16.5" thickBot="1">
      <c r="B1" s="405" t="s">
        <v>90</v>
      </c>
      <c r="C1" s="406"/>
      <c r="D1" s="406"/>
      <c r="E1" s="406"/>
      <c r="F1" s="406"/>
      <c r="G1" s="406"/>
      <c r="H1" s="406"/>
      <c r="W1" s="347" t="s">
        <v>150</v>
      </c>
      <c r="X1" s="347" t="s">
        <v>67</v>
      </c>
      <c r="Y1" s="347" t="s">
        <v>158</v>
      </c>
      <c r="Z1" s="347" t="s">
        <v>153</v>
      </c>
      <c r="AB1" s="347" t="s">
        <v>183</v>
      </c>
      <c r="AC1" s="347" t="s">
        <v>57</v>
      </c>
      <c r="AD1" s="347" t="s">
        <v>184</v>
      </c>
      <c r="AE1" s="347" t="s">
        <v>185</v>
      </c>
    </row>
    <row r="2" spans="1:31" ht="12.75" thickBot="1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W2" s="347" t="s">
        <v>137</v>
      </c>
      <c r="X2" s="347" t="s">
        <v>154</v>
      </c>
      <c r="Y2" s="347" t="s">
        <v>172</v>
      </c>
      <c r="Z2" s="347" t="s">
        <v>159</v>
      </c>
      <c r="AB2" s="347" t="s">
        <v>186</v>
      </c>
      <c r="AC2" s="347" t="s">
        <v>186</v>
      </c>
      <c r="AD2" s="347" t="s">
        <v>186</v>
      </c>
      <c r="AE2" s="347" t="s">
        <v>186</v>
      </c>
    </row>
    <row r="3" spans="1:31" ht="13.35" customHeight="1">
      <c r="A3" s="7"/>
      <c r="B3" s="171"/>
      <c r="D3" s="9">
        <v>1</v>
      </c>
      <c r="E3" s="9">
        <v>2</v>
      </c>
      <c r="F3" s="9">
        <v>3</v>
      </c>
      <c r="G3" s="24" t="s">
        <v>133</v>
      </c>
      <c r="H3" s="30">
        <v>5</v>
      </c>
      <c r="W3" s="347" t="s">
        <v>134</v>
      </c>
      <c r="X3" s="347" t="s">
        <v>155</v>
      </c>
      <c r="Y3" s="347" t="s">
        <v>167</v>
      </c>
      <c r="Z3" s="347" t="s">
        <v>69</v>
      </c>
      <c r="AB3" s="347" t="s">
        <v>186</v>
      </c>
      <c r="AC3" s="347" t="s">
        <v>187</v>
      </c>
      <c r="AD3" s="347" t="s">
        <v>186</v>
      </c>
      <c r="AE3" s="347" t="s">
        <v>186</v>
      </c>
    </row>
    <row r="4" spans="1:31" ht="12.75" customHeight="1">
      <c r="A4" s="11" t="s">
        <v>7</v>
      </c>
      <c r="B4" s="192"/>
      <c r="C4" s="3"/>
      <c r="D4" s="13" t="s">
        <v>36</v>
      </c>
      <c r="E4" s="13" t="s">
        <v>34</v>
      </c>
      <c r="F4" s="13" t="s">
        <v>72</v>
      </c>
      <c r="G4" s="13" t="s">
        <v>72</v>
      </c>
      <c r="H4" s="14" t="s">
        <v>36</v>
      </c>
      <c r="W4" s="347" t="s">
        <v>135</v>
      </c>
      <c r="X4" s="347" t="s">
        <v>156</v>
      </c>
      <c r="Y4" s="347" t="s">
        <v>171</v>
      </c>
      <c r="Z4" s="347" t="s">
        <v>160</v>
      </c>
      <c r="AB4" s="347" t="s">
        <v>186</v>
      </c>
      <c r="AC4" s="347" t="s">
        <v>186</v>
      </c>
      <c r="AD4" s="347" t="s">
        <v>186</v>
      </c>
      <c r="AE4" s="347" t="s">
        <v>186</v>
      </c>
    </row>
    <row r="5" spans="1:31" ht="12.75" customHeight="1">
      <c r="A5" s="11" t="s">
        <v>64</v>
      </c>
      <c r="B5" s="192"/>
      <c r="C5" s="3"/>
      <c r="D5" s="13" t="s">
        <v>135</v>
      </c>
      <c r="E5" s="13" t="s">
        <v>134</v>
      </c>
      <c r="F5" s="13" t="s">
        <v>135</v>
      </c>
      <c r="G5" s="13" t="s">
        <v>135</v>
      </c>
      <c r="H5" s="18" t="s">
        <v>137</v>
      </c>
      <c r="K5" s="339" t="s">
        <v>67</v>
      </c>
      <c r="L5" s="339" t="s">
        <v>68</v>
      </c>
      <c r="W5" s="347" t="s">
        <v>136</v>
      </c>
      <c r="X5" s="347" t="s">
        <v>157</v>
      </c>
      <c r="Y5" s="347" t="s">
        <v>69</v>
      </c>
      <c r="Z5" s="347" t="s">
        <v>161</v>
      </c>
      <c r="AB5" s="347" t="s">
        <v>186</v>
      </c>
      <c r="AC5" s="347" t="s">
        <v>186</v>
      </c>
      <c r="AD5" s="347" t="s">
        <v>186</v>
      </c>
      <c r="AE5" s="347" t="s">
        <v>186</v>
      </c>
    </row>
    <row r="6" spans="1:31" ht="12.75" customHeight="1">
      <c r="A6" s="15" t="s">
        <v>8</v>
      </c>
      <c r="B6" s="330"/>
      <c r="C6" s="3"/>
      <c r="D6" s="19"/>
      <c r="E6" s="19"/>
      <c r="F6" s="19"/>
      <c r="G6" s="19"/>
      <c r="H6" s="19"/>
      <c r="J6" s="339" t="s">
        <v>41</v>
      </c>
      <c r="K6" s="340" t="s">
        <v>71</v>
      </c>
      <c r="L6" s="340" t="s">
        <v>70</v>
      </c>
      <c r="W6" s="347" t="s">
        <v>151</v>
      </c>
      <c r="X6" s="347" t="s">
        <v>67</v>
      </c>
    </row>
    <row r="7" spans="1:31" ht="13.35" customHeight="1">
      <c r="A7" s="15" t="s">
        <v>9</v>
      </c>
      <c r="B7" s="12"/>
      <c r="D7" s="13" t="s">
        <v>24</v>
      </c>
      <c r="E7" s="13" t="s">
        <v>26</v>
      </c>
      <c r="F7" s="13" t="s">
        <v>146</v>
      </c>
      <c r="G7" s="13" t="s">
        <v>146</v>
      </c>
      <c r="H7" s="13" t="s">
        <v>25</v>
      </c>
      <c r="J7" s="339" t="s">
        <v>42</v>
      </c>
      <c r="K7" s="339" t="s">
        <v>65</v>
      </c>
      <c r="L7" s="339" t="s">
        <v>76</v>
      </c>
      <c r="W7" s="347" t="s">
        <v>35</v>
      </c>
      <c r="X7" s="347" t="s">
        <v>162</v>
      </c>
      <c r="AB7" s="347">
        <v>0</v>
      </c>
      <c r="AC7" s="347">
        <v>0</v>
      </c>
      <c r="AD7" s="347">
        <v>0</v>
      </c>
      <c r="AE7" s="347">
        <v>0</v>
      </c>
    </row>
    <row r="8" spans="1:31" ht="13.35" customHeight="1">
      <c r="A8" s="15" t="s">
        <v>10</v>
      </c>
      <c r="D8" s="19"/>
      <c r="E8" s="182" t="s">
        <v>62</v>
      </c>
      <c r="F8" s="19"/>
      <c r="G8" s="19"/>
      <c r="H8" s="19"/>
      <c r="J8" s="339" t="s">
        <v>43</v>
      </c>
      <c r="K8" s="339" t="s">
        <v>66</v>
      </c>
      <c r="L8" s="339" t="s">
        <v>69</v>
      </c>
      <c r="W8" s="347" t="s">
        <v>36</v>
      </c>
      <c r="X8" s="347" t="s">
        <v>163</v>
      </c>
      <c r="Y8" s="347" t="s">
        <v>174</v>
      </c>
      <c r="Z8" s="347" t="s">
        <v>69</v>
      </c>
      <c r="AB8" s="347">
        <f>COUNTIF(C4:G33, "Philbrick") + 1</f>
        <v>9</v>
      </c>
      <c r="AC8" s="347">
        <f>COUNTIF(H4:H33, "Philbrick")</f>
        <v>2</v>
      </c>
      <c r="AD8" s="347">
        <f>COUNTIF(C4:G33, "Philbrick") + 1</f>
        <v>9</v>
      </c>
      <c r="AE8" s="347">
        <f>COUNTIF(H4:H33, "Philbrick")</f>
        <v>2</v>
      </c>
    </row>
    <row r="9" spans="1:31" ht="13.35" customHeight="1" thickBot="1">
      <c r="A9" s="20" t="s">
        <v>11</v>
      </c>
      <c r="B9" s="21"/>
      <c r="C9" s="36"/>
      <c r="D9" s="187"/>
      <c r="E9" s="353" t="s">
        <v>224</v>
      </c>
      <c r="F9" s="187"/>
      <c r="G9" s="187"/>
      <c r="H9" s="187"/>
      <c r="I9" s="341"/>
      <c r="J9" s="339" t="s">
        <v>40</v>
      </c>
      <c r="W9" s="347" t="s">
        <v>72</v>
      </c>
      <c r="X9" s="347" t="s">
        <v>164</v>
      </c>
      <c r="Y9" s="347" t="s">
        <v>167</v>
      </c>
      <c r="Z9" s="347" t="s">
        <v>69</v>
      </c>
      <c r="AB9" s="347">
        <f>COUNTIF(C4:G34, "Sears") + 3</f>
        <v>11</v>
      </c>
      <c r="AC9" s="347">
        <f>COUNTIF(H3:H32, "Sears")</f>
        <v>1</v>
      </c>
      <c r="AD9" s="347">
        <f>COUNTIF(C4:G34, "Sears") + 3</f>
        <v>11</v>
      </c>
      <c r="AE9" s="347">
        <f>COUNTIF(H3:H32, "Sears")</f>
        <v>1</v>
      </c>
    </row>
    <row r="10" spans="1:31" ht="13.35" customHeight="1">
      <c r="A10" s="22"/>
      <c r="B10" s="23">
        <v>6</v>
      </c>
      <c r="C10" s="24">
        <v>7</v>
      </c>
      <c r="D10" s="9">
        <v>8</v>
      </c>
      <c r="E10" s="9">
        <v>9</v>
      </c>
      <c r="F10" s="9">
        <v>10</v>
      </c>
      <c r="G10" s="9">
        <v>11</v>
      </c>
      <c r="H10" s="9">
        <v>12</v>
      </c>
      <c r="I10" s="341"/>
      <c r="W10" s="347" t="s">
        <v>34</v>
      </c>
      <c r="X10" s="347" t="s">
        <v>165</v>
      </c>
      <c r="Y10" s="347" t="s">
        <v>166</v>
      </c>
      <c r="Z10" s="347" t="s">
        <v>69</v>
      </c>
      <c r="AB10" s="347">
        <f>COUNTIF(C4:G35, "Thompson") + 0</f>
        <v>7</v>
      </c>
      <c r="AC10" s="347">
        <f>COUNTIF(H3:H32, "Thompson")</f>
        <v>1</v>
      </c>
      <c r="AD10" s="347">
        <f>COUNTIF(C4:G35, "Thompson") + 0</f>
        <v>7</v>
      </c>
      <c r="AE10" s="347">
        <f>COUNTIF(H3:H32, "Thompson")</f>
        <v>1</v>
      </c>
    </row>
    <row r="11" spans="1:31" ht="13.35" customHeight="1">
      <c r="A11" s="11" t="s">
        <v>7</v>
      </c>
      <c r="B11" s="348" t="s">
        <v>36</v>
      </c>
      <c r="C11" s="13" t="s">
        <v>72</v>
      </c>
      <c r="D11" s="13" t="s">
        <v>36</v>
      </c>
      <c r="E11" s="13" t="s">
        <v>72</v>
      </c>
      <c r="F11" s="13" t="s">
        <v>34</v>
      </c>
      <c r="G11" s="13" t="s">
        <v>72</v>
      </c>
      <c r="H11" s="13" t="s">
        <v>34</v>
      </c>
      <c r="I11" s="342"/>
      <c r="O11" s="339" t="s">
        <v>24</v>
      </c>
      <c r="P11" s="339" t="s">
        <v>26</v>
      </c>
      <c r="Q11" s="339" t="s">
        <v>55</v>
      </c>
      <c r="S11" s="339" t="s">
        <v>52</v>
      </c>
      <c r="W11" s="347" t="s">
        <v>152</v>
      </c>
      <c r="X11" s="347" t="s">
        <v>67</v>
      </c>
    </row>
    <row r="12" spans="1:31" ht="13.35" customHeight="1">
      <c r="A12" s="11" t="s">
        <v>64</v>
      </c>
      <c r="B12" s="186" t="s">
        <v>137</v>
      </c>
      <c r="C12" s="14" t="s">
        <v>135</v>
      </c>
      <c r="D12" s="14" t="s">
        <v>134</v>
      </c>
      <c r="E12" s="13" t="s">
        <v>136</v>
      </c>
      <c r="F12" s="14" t="s">
        <v>137</v>
      </c>
      <c r="G12" s="14" t="s">
        <v>134</v>
      </c>
      <c r="H12" s="14" t="s">
        <v>136</v>
      </c>
      <c r="I12" s="342"/>
      <c r="W12" s="347" t="s">
        <v>24</v>
      </c>
      <c r="X12" s="347" t="s">
        <v>155</v>
      </c>
      <c r="Y12" s="347" t="s">
        <v>190</v>
      </c>
      <c r="Z12" s="347" t="s">
        <v>161</v>
      </c>
      <c r="AB12" s="347">
        <f>COUNTIF(C4:G37, "Dieu") -1</f>
        <v>4</v>
      </c>
      <c r="AC12" s="347">
        <f>COUNTIF(H4:H28, "Dieu")</f>
        <v>1</v>
      </c>
    </row>
    <row r="13" spans="1:31" ht="13.35" customHeight="1">
      <c r="A13" s="15" t="s">
        <v>8</v>
      </c>
      <c r="B13" s="18" t="s">
        <v>34</v>
      </c>
      <c r="C13" s="19"/>
      <c r="D13" s="19"/>
      <c r="E13" s="19"/>
      <c r="F13" s="19"/>
      <c r="G13" s="19"/>
      <c r="H13" s="19"/>
      <c r="I13" s="342"/>
      <c r="N13" s="339" t="s">
        <v>77</v>
      </c>
      <c r="W13" s="347" t="s">
        <v>25</v>
      </c>
      <c r="X13" s="347" t="s">
        <v>168</v>
      </c>
      <c r="Y13" s="347" t="s">
        <v>191</v>
      </c>
      <c r="Z13" s="347" t="s">
        <v>192</v>
      </c>
      <c r="AB13" s="347">
        <f>COUNTIF(C4:G37, "Huynh")</f>
        <v>6</v>
      </c>
      <c r="AC13" s="347">
        <f>COUNTIF(H4:H28, "Huynh")</f>
        <v>1</v>
      </c>
    </row>
    <row r="14" spans="1:31" ht="13.35" customHeight="1">
      <c r="A14" s="15" t="s">
        <v>9</v>
      </c>
      <c r="B14" s="26" t="s">
        <v>25</v>
      </c>
      <c r="C14" s="13" t="s">
        <v>24</v>
      </c>
      <c r="D14" s="13" t="s">
        <v>26</v>
      </c>
      <c r="E14" s="13" t="s">
        <v>146</v>
      </c>
      <c r="F14" s="13" t="s">
        <v>26</v>
      </c>
      <c r="G14" s="13" t="s">
        <v>146</v>
      </c>
      <c r="H14" s="13" t="s">
        <v>24</v>
      </c>
      <c r="I14" s="342"/>
      <c r="N14" s="339" t="s">
        <v>78</v>
      </c>
      <c r="W14" s="347" t="s">
        <v>26</v>
      </c>
      <c r="X14" s="347" t="s">
        <v>169</v>
      </c>
      <c r="AB14" s="347">
        <f>COUNTIF(C4:G37, "Mathew") -1</f>
        <v>5</v>
      </c>
      <c r="AC14" s="347">
        <f>COUNTIF(H4:H28, "Mathew")</f>
        <v>1</v>
      </c>
    </row>
    <row r="15" spans="1:31" ht="13.35" customHeight="1">
      <c r="A15" s="15" t="s">
        <v>10</v>
      </c>
      <c r="B15" s="27"/>
      <c r="C15" s="19"/>
      <c r="D15" s="19"/>
      <c r="E15" s="183" t="s">
        <v>24</v>
      </c>
      <c r="F15" s="19"/>
      <c r="G15" s="19"/>
      <c r="H15" s="19"/>
      <c r="N15" s="339" t="s">
        <v>57</v>
      </c>
      <c r="W15" s="347" t="s">
        <v>146</v>
      </c>
      <c r="X15" s="347" t="s">
        <v>170</v>
      </c>
      <c r="Y15" s="347" t="s">
        <v>193</v>
      </c>
      <c r="Z15" s="347" t="s">
        <v>69</v>
      </c>
      <c r="AB15" s="347">
        <f>COUNTIF(C4:G37, "Noh") -1</f>
        <v>8</v>
      </c>
      <c r="AC15" s="347">
        <f>COUNTIF(H4:H28, "Noh")</f>
        <v>1</v>
      </c>
    </row>
    <row r="16" spans="1:31" ht="13.35" customHeight="1" thickBot="1">
      <c r="A16" s="20" t="s">
        <v>11</v>
      </c>
      <c r="B16" s="28"/>
      <c r="C16" s="16"/>
      <c r="D16" s="29"/>
      <c r="E16" s="16"/>
      <c r="F16" s="16"/>
      <c r="G16" s="29"/>
      <c r="H16" s="16"/>
      <c r="J16" s="339" t="s">
        <v>37</v>
      </c>
    </row>
    <row r="17" spans="1:14" ht="13.35" customHeight="1">
      <c r="A17" s="22"/>
      <c r="B17" s="23">
        <v>13</v>
      </c>
      <c r="C17" s="9">
        <v>14</v>
      </c>
      <c r="D17" s="9">
        <v>15</v>
      </c>
      <c r="E17" s="9">
        <v>16</v>
      </c>
      <c r="F17" s="9">
        <v>17</v>
      </c>
      <c r="G17" s="10">
        <v>18</v>
      </c>
      <c r="H17" s="30">
        <v>19</v>
      </c>
    </row>
    <row r="18" spans="1:14" ht="13.35" customHeight="1">
      <c r="A18" s="11" t="s">
        <v>7</v>
      </c>
      <c r="B18" s="25" t="s">
        <v>34</v>
      </c>
      <c r="C18" s="13" t="s">
        <v>36</v>
      </c>
      <c r="D18" s="13" t="s">
        <v>34</v>
      </c>
      <c r="E18" s="13" t="s">
        <v>72</v>
      </c>
      <c r="F18" s="13" t="s">
        <v>36</v>
      </c>
      <c r="G18" s="13" t="s">
        <v>34</v>
      </c>
      <c r="H18" s="13" t="s">
        <v>72</v>
      </c>
    </row>
    <row r="19" spans="1:14" ht="13.35" customHeight="1">
      <c r="A19" s="11" t="s">
        <v>64</v>
      </c>
      <c r="B19" s="25" t="s">
        <v>136</v>
      </c>
      <c r="C19" s="13" t="s">
        <v>134</v>
      </c>
      <c r="D19" s="13" t="s">
        <v>136</v>
      </c>
      <c r="E19" s="13" t="s">
        <v>137</v>
      </c>
      <c r="F19" s="13" t="s">
        <v>135</v>
      </c>
      <c r="G19" s="13" t="s">
        <v>137</v>
      </c>
      <c r="H19" s="13" t="s">
        <v>134</v>
      </c>
    </row>
    <row r="20" spans="1:14" ht="13.35" customHeight="1">
      <c r="A20" s="15" t="s">
        <v>8</v>
      </c>
      <c r="B20" s="26" t="s">
        <v>72</v>
      </c>
      <c r="C20" s="19"/>
      <c r="D20" s="19"/>
      <c r="E20" s="19"/>
      <c r="F20" s="19"/>
      <c r="G20" s="19"/>
      <c r="H20" s="17"/>
    </row>
    <row r="21" spans="1:14" ht="13.35" customHeight="1">
      <c r="A21" s="15" t="s">
        <v>9</v>
      </c>
      <c r="B21" s="18" t="s">
        <v>24</v>
      </c>
      <c r="C21" s="2" t="s">
        <v>25</v>
      </c>
      <c r="D21" s="18" t="s">
        <v>24</v>
      </c>
      <c r="E21" s="18" t="s">
        <v>26</v>
      </c>
      <c r="F21" s="18" t="s">
        <v>25</v>
      </c>
      <c r="G21" s="18" t="s">
        <v>146</v>
      </c>
      <c r="H21" s="18" t="s">
        <v>26</v>
      </c>
    </row>
    <row r="22" spans="1:14" ht="13.35" customHeight="1">
      <c r="A22" s="15" t="s">
        <v>10</v>
      </c>
      <c r="B22" s="27"/>
      <c r="C22" s="19"/>
      <c r="D22" s="19"/>
      <c r="E22" s="18" t="s">
        <v>146</v>
      </c>
      <c r="F22" s="19"/>
      <c r="G22" s="19"/>
      <c r="H22" s="19"/>
    </row>
    <row r="23" spans="1:14" ht="13.35" customHeight="1" thickBot="1">
      <c r="A23" s="20" t="s">
        <v>11</v>
      </c>
      <c r="B23" s="28"/>
      <c r="C23" s="353" t="s">
        <v>231</v>
      </c>
      <c r="D23" s="187"/>
      <c r="E23" s="187"/>
      <c r="F23" s="187"/>
      <c r="G23" s="187"/>
      <c r="H23" s="16"/>
    </row>
    <row r="24" spans="1:14" ht="13.35" customHeight="1">
      <c r="A24" s="22"/>
      <c r="B24" s="23">
        <v>20</v>
      </c>
      <c r="C24" s="9">
        <v>21</v>
      </c>
      <c r="D24" s="9">
        <v>22</v>
      </c>
      <c r="E24" s="9">
        <v>23</v>
      </c>
      <c r="F24" s="9">
        <v>24</v>
      </c>
      <c r="G24" s="10">
        <v>25</v>
      </c>
      <c r="H24" s="30">
        <v>26</v>
      </c>
    </row>
    <row r="25" spans="1:14" ht="13.35" customHeight="1">
      <c r="A25" s="11" t="s">
        <v>7</v>
      </c>
      <c r="B25" s="34" t="s">
        <v>72</v>
      </c>
      <c r="C25" s="2" t="s">
        <v>34</v>
      </c>
      <c r="D25" s="14" t="s">
        <v>36</v>
      </c>
      <c r="E25" s="14" t="s">
        <v>72</v>
      </c>
      <c r="F25" s="14" t="s">
        <v>36</v>
      </c>
      <c r="G25" s="14" t="s">
        <v>34</v>
      </c>
      <c r="H25" s="14" t="s">
        <v>36</v>
      </c>
      <c r="K25" s="339" t="s">
        <v>39</v>
      </c>
    </row>
    <row r="26" spans="1:14" ht="13.35" customHeight="1">
      <c r="A26" s="11" t="s">
        <v>64</v>
      </c>
      <c r="B26" s="18" t="s">
        <v>134</v>
      </c>
      <c r="C26" s="188" t="s">
        <v>135</v>
      </c>
      <c r="D26" s="18" t="s">
        <v>136</v>
      </c>
      <c r="E26" s="18" t="s">
        <v>137</v>
      </c>
      <c r="F26" s="18" t="s">
        <v>135</v>
      </c>
      <c r="G26" s="18" t="s">
        <v>137</v>
      </c>
      <c r="H26" s="18" t="s">
        <v>136</v>
      </c>
    </row>
    <row r="27" spans="1:14" ht="13.35" customHeight="1">
      <c r="A27" s="15" t="s">
        <v>8</v>
      </c>
      <c r="B27" s="26" t="s">
        <v>36</v>
      </c>
      <c r="C27" s="19"/>
      <c r="D27" s="19"/>
      <c r="E27" s="19"/>
      <c r="F27" s="19"/>
      <c r="G27" s="19"/>
      <c r="H27" s="17"/>
    </row>
    <row r="28" spans="1:14" ht="13.35" customHeight="1">
      <c r="A28" s="15" t="s">
        <v>9</v>
      </c>
      <c r="B28" s="26" t="s">
        <v>26</v>
      </c>
      <c r="C28" s="2" t="s">
        <v>25</v>
      </c>
      <c r="D28" s="18" t="s">
        <v>146</v>
      </c>
      <c r="E28" s="18" t="s">
        <v>26</v>
      </c>
      <c r="F28" s="18" t="s">
        <v>25</v>
      </c>
      <c r="G28" s="18" t="s">
        <v>146</v>
      </c>
      <c r="H28" s="18" t="s">
        <v>146</v>
      </c>
    </row>
    <row r="29" spans="1:14" ht="13.35" customHeight="1">
      <c r="A29" s="15" t="s">
        <v>10</v>
      </c>
      <c r="B29" s="27"/>
      <c r="C29" s="19"/>
      <c r="D29" s="19"/>
      <c r="E29" s="18" t="s">
        <v>25</v>
      </c>
      <c r="F29" s="19"/>
      <c r="G29" s="19"/>
      <c r="H29" s="19"/>
    </row>
    <row r="30" spans="1:14" ht="13.35" customHeight="1">
      <c r="A30" s="15" t="s">
        <v>33</v>
      </c>
      <c r="B30" s="27"/>
      <c r="C30" s="19"/>
      <c r="D30" s="19"/>
      <c r="E30" s="18"/>
      <c r="F30" s="19"/>
      <c r="G30" s="18" t="s">
        <v>223</v>
      </c>
      <c r="H30" s="19"/>
      <c r="K30" s="339" t="s">
        <v>35</v>
      </c>
      <c r="L30" s="339" t="s">
        <v>34</v>
      </c>
      <c r="M30" s="339" t="s">
        <v>36</v>
      </c>
      <c r="N30" s="339" t="s">
        <v>72</v>
      </c>
    </row>
    <row r="31" spans="1:14" ht="13.35" customHeight="1" thickBot="1">
      <c r="A31" s="20" t="s">
        <v>11</v>
      </c>
      <c r="B31" s="31"/>
      <c r="C31" s="354" t="s">
        <v>232</v>
      </c>
      <c r="D31" s="187"/>
      <c r="E31" s="187"/>
      <c r="F31" s="187"/>
      <c r="G31" s="187"/>
      <c r="H31" s="167"/>
      <c r="J31" s="339" t="s">
        <v>25</v>
      </c>
      <c r="K31" s="339">
        <v>2</v>
      </c>
      <c r="L31" s="339">
        <v>3</v>
      </c>
      <c r="M31" s="339">
        <v>4</v>
      </c>
      <c r="N31" s="339">
        <v>1</v>
      </c>
    </row>
    <row r="32" spans="1:14" ht="13.35" customHeight="1">
      <c r="A32" s="22"/>
      <c r="B32" s="23">
        <v>27</v>
      </c>
      <c r="C32" s="9">
        <v>28</v>
      </c>
      <c r="D32" s="9">
        <v>29</v>
      </c>
      <c r="E32" s="9">
        <v>30</v>
      </c>
      <c r="F32" s="9">
        <v>31</v>
      </c>
      <c r="G32" s="32"/>
      <c r="H32" s="33"/>
      <c r="J32" s="339" t="s">
        <v>24</v>
      </c>
      <c r="K32" s="339">
        <v>4</v>
      </c>
      <c r="L32" s="339">
        <v>1</v>
      </c>
      <c r="M32" s="339">
        <v>3</v>
      </c>
      <c r="N32" s="339">
        <v>3</v>
      </c>
    </row>
    <row r="33" spans="1:14" ht="13.35" customHeight="1">
      <c r="A33" s="11" t="s">
        <v>7</v>
      </c>
      <c r="B33" s="34" t="s">
        <v>36</v>
      </c>
      <c r="C33" s="13" t="s">
        <v>72</v>
      </c>
      <c r="D33" s="13" t="s">
        <v>36</v>
      </c>
      <c r="E33" s="13" t="s">
        <v>34</v>
      </c>
      <c r="F33" s="14" t="s">
        <v>36</v>
      </c>
      <c r="H33" s="34"/>
      <c r="J33" s="339" t="s">
        <v>26</v>
      </c>
      <c r="K33" s="339">
        <v>1</v>
      </c>
      <c r="L33" s="339">
        <v>4</v>
      </c>
      <c r="M33" s="339">
        <v>1</v>
      </c>
      <c r="N33" s="339">
        <v>3</v>
      </c>
    </row>
    <row r="34" spans="1:14" ht="13.35" customHeight="1">
      <c r="A34" s="11" t="s">
        <v>64</v>
      </c>
      <c r="B34" s="18" t="s">
        <v>136</v>
      </c>
      <c r="C34" s="13" t="s">
        <v>134</v>
      </c>
      <c r="D34" s="13" t="s">
        <v>137</v>
      </c>
      <c r="E34" s="13" t="s">
        <v>135</v>
      </c>
      <c r="F34" s="18" t="s">
        <v>136</v>
      </c>
      <c r="H34" s="34"/>
    </row>
    <row r="35" spans="1:14" ht="13.35" customHeight="1">
      <c r="A35" s="15" t="s">
        <v>8</v>
      </c>
      <c r="B35" s="26" t="s">
        <v>34</v>
      </c>
      <c r="C35" s="19"/>
      <c r="D35" s="19"/>
      <c r="E35" s="19"/>
      <c r="F35" s="19"/>
      <c r="H35" s="165"/>
    </row>
    <row r="36" spans="1:14" ht="13.35" customHeight="1">
      <c r="A36" s="15" t="s">
        <v>9</v>
      </c>
      <c r="B36" s="26" t="s">
        <v>146</v>
      </c>
      <c r="C36" s="2" t="s">
        <v>25</v>
      </c>
      <c r="D36" s="18" t="s">
        <v>26</v>
      </c>
      <c r="E36" s="18" t="s">
        <v>146</v>
      </c>
      <c r="F36" s="18" t="s">
        <v>24</v>
      </c>
      <c r="H36" s="34"/>
      <c r="K36" s="339" t="s">
        <v>56</v>
      </c>
      <c r="L36" s="339" t="s">
        <v>57</v>
      </c>
    </row>
    <row r="37" spans="1:14" ht="13.35" customHeight="1">
      <c r="A37" s="15" t="s">
        <v>10</v>
      </c>
      <c r="B37" s="27"/>
      <c r="C37" s="19"/>
      <c r="D37" s="19"/>
      <c r="E37" s="92"/>
      <c r="F37" s="19"/>
      <c r="H37" s="34"/>
      <c r="J37" s="339" t="s">
        <v>35</v>
      </c>
      <c r="K37" s="339">
        <v>6</v>
      </c>
      <c r="L37" s="339">
        <v>1</v>
      </c>
    </row>
    <row r="38" spans="1:14" ht="13.35" customHeight="1">
      <c r="A38" s="22" t="s">
        <v>11</v>
      </c>
      <c r="B38" s="138"/>
      <c r="C38" s="18" t="s">
        <v>24</v>
      </c>
      <c r="D38" s="86"/>
      <c r="E38" s="86"/>
      <c r="F38" s="57" t="s">
        <v>226</v>
      </c>
      <c r="H38" s="34"/>
    </row>
    <row r="39" spans="1:14" ht="12.75" thickBot="1">
      <c r="A39" s="177"/>
      <c r="B39" s="31"/>
      <c r="C39" s="187"/>
      <c r="D39" s="187"/>
      <c r="E39" s="187"/>
      <c r="F39" s="293" t="s">
        <v>219</v>
      </c>
      <c r="G39" s="21"/>
      <c r="H39" s="36"/>
      <c r="J39" s="339" t="s">
        <v>34</v>
      </c>
      <c r="K39" s="339">
        <v>6</v>
      </c>
      <c r="L39" s="339">
        <v>1</v>
      </c>
    </row>
    <row r="40" spans="1:14" ht="12" customHeight="1">
      <c r="A40" s="37" t="s">
        <v>12</v>
      </c>
      <c r="H40" s="38" t="s">
        <v>240</v>
      </c>
      <c r="J40" s="339" t="s">
        <v>36</v>
      </c>
      <c r="K40" s="339">
        <v>6</v>
      </c>
      <c r="L40" s="339">
        <v>1</v>
      </c>
    </row>
    <row r="41" spans="1:14" ht="12" customHeight="1">
      <c r="A41" s="39" t="s">
        <v>93</v>
      </c>
      <c r="G41" s="40" t="s">
        <v>13</v>
      </c>
      <c r="J41" s="339" t="s">
        <v>72</v>
      </c>
      <c r="K41" s="339">
        <v>5</v>
      </c>
      <c r="L41" s="339">
        <v>1</v>
      </c>
    </row>
    <row r="42" spans="1:14" ht="12" customHeight="1">
      <c r="A42" s="39"/>
    </row>
    <row r="43" spans="1:14" ht="12" customHeight="1">
      <c r="A43" s="178" t="s">
        <v>91</v>
      </c>
    </row>
    <row r="44" spans="1:14" ht="12" customHeight="1" thickBot="1">
      <c r="A44" s="2" t="s">
        <v>132</v>
      </c>
    </row>
    <row r="45" spans="1:14" ht="12" customHeight="1">
      <c r="A45" s="75" t="s">
        <v>14</v>
      </c>
      <c r="B45" s="81"/>
      <c r="C45" s="175" t="s">
        <v>1</v>
      </c>
      <c r="D45" s="175" t="s">
        <v>2</v>
      </c>
      <c r="E45" s="175" t="s">
        <v>3</v>
      </c>
      <c r="F45" s="175" t="s">
        <v>4</v>
      </c>
      <c r="G45" s="175" t="s">
        <v>5</v>
      </c>
      <c r="H45" s="51"/>
    </row>
    <row r="46" spans="1:14" ht="12" customHeight="1">
      <c r="A46" s="75"/>
      <c r="B46" s="173" t="s">
        <v>32</v>
      </c>
      <c r="C46" s="59"/>
      <c r="D46" s="174"/>
      <c r="E46" s="174"/>
      <c r="F46" s="174"/>
      <c r="G46" s="174"/>
      <c r="H46" s="51"/>
    </row>
    <row r="47" spans="1:14" ht="12" customHeight="1">
      <c r="A47" s="39"/>
      <c r="B47" s="173" t="s">
        <v>15</v>
      </c>
      <c r="C47" s="170" t="s">
        <v>72</v>
      </c>
      <c r="D47" s="170" t="s">
        <v>135</v>
      </c>
      <c r="E47" s="170" t="s">
        <v>136</v>
      </c>
      <c r="F47" s="170" t="s">
        <v>34</v>
      </c>
      <c r="G47" s="170" t="s">
        <v>36</v>
      </c>
    </row>
    <row r="48" spans="1:14" ht="15">
      <c r="A48" s="39"/>
      <c r="B48" s="231"/>
      <c r="C48" s="233" t="s">
        <v>134</v>
      </c>
      <c r="D48" s="233"/>
      <c r="E48" s="233"/>
      <c r="F48" s="233"/>
      <c r="G48" s="233" t="s">
        <v>137</v>
      </c>
    </row>
    <row r="49" spans="1:16" ht="15" hidden="1">
      <c r="B49" s="2" t="s">
        <v>27</v>
      </c>
      <c r="C49"/>
      <c r="D49"/>
      <c r="E49"/>
      <c r="F49" s="41"/>
      <c r="G49" s="41"/>
      <c r="H49" s="41"/>
    </row>
    <row r="50" spans="1:16" ht="15" hidden="1">
      <c r="A50"/>
      <c r="B50"/>
      <c r="C50"/>
      <c r="D50"/>
      <c r="E50"/>
      <c r="F50" s="41"/>
      <c r="G50" s="41"/>
      <c r="H50" s="41"/>
    </row>
    <row r="51" spans="1:16" hidden="1">
      <c r="A51" s="41"/>
      <c r="B51" s="41" t="s">
        <v>75</v>
      </c>
      <c r="C51" s="41" t="s">
        <v>51</v>
      </c>
      <c r="D51" s="41" t="s">
        <v>52</v>
      </c>
      <c r="E51" s="2" t="s">
        <v>58</v>
      </c>
      <c r="F51" s="2" t="s">
        <v>51</v>
      </c>
      <c r="G51" s="2" t="s">
        <v>52</v>
      </c>
      <c r="H51" s="2" t="s">
        <v>74</v>
      </c>
      <c r="I51" s="339" t="s">
        <v>51</v>
      </c>
      <c r="J51" s="339" t="s">
        <v>52</v>
      </c>
      <c r="K51" s="339" t="s">
        <v>54</v>
      </c>
      <c r="L51" s="339" t="s">
        <v>51</v>
      </c>
      <c r="M51" s="339" t="s">
        <v>52</v>
      </c>
    </row>
    <row r="52" spans="1:16" hidden="1">
      <c r="A52" s="184" t="s">
        <v>73</v>
      </c>
      <c r="B52" s="179">
        <v>0</v>
      </c>
      <c r="C52" s="180">
        <v>0</v>
      </c>
      <c r="D52" s="181">
        <f>SUM(B52:C52)</f>
        <v>0</v>
      </c>
      <c r="E52" s="2">
        <v>0</v>
      </c>
      <c r="F52" s="2">
        <v>0</v>
      </c>
      <c r="G52" s="2">
        <f>SUM(E52:F52)</f>
        <v>0</v>
      </c>
      <c r="H52" s="2">
        <v>0</v>
      </c>
      <c r="I52" s="339">
        <v>0</v>
      </c>
      <c r="J52" s="339">
        <f>SUM(H52:I52)</f>
        <v>0</v>
      </c>
      <c r="K52" s="339">
        <v>0</v>
      </c>
      <c r="L52" s="339">
        <v>0</v>
      </c>
      <c r="M52" s="339">
        <f>SUM(K52:L52)</f>
        <v>0</v>
      </c>
    </row>
    <row r="53" spans="1:16" hidden="1">
      <c r="A53" s="184" t="s">
        <v>48</v>
      </c>
      <c r="B53" s="179">
        <v>0</v>
      </c>
      <c r="C53" s="180">
        <v>0</v>
      </c>
      <c r="D53" s="181">
        <f t="shared" ref="D53:D59" si="0">SUM(B53:C53)</f>
        <v>0</v>
      </c>
      <c r="E53" s="2">
        <v>0</v>
      </c>
      <c r="F53" s="2">
        <v>0</v>
      </c>
      <c r="G53" s="2">
        <f t="shared" ref="G53:G59" si="1">SUM(E53:F53)</f>
        <v>0</v>
      </c>
      <c r="H53" s="2">
        <v>0</v>
      </c>
      <c r="I53" s="339">
        <v>0</v>
      </c>
      <c r="J53" s="339">
        <f t="shared" ref="J53:J59" si="2">SUM(H53:I53)</f>
        <v>0</v>
      </c>
      <c r="K53" s="339">
        <v>0</v>
      </c>
      <c r="L53" s="339">
        <v>0</v>
      </c>
      <c r="M53" s="339">
        <f t="shared" ref="M53:M59" si="3">SUM(K53:L53)</f>
        <v>0</v>
      </c>
    </row>
    <row r="54" spans="1:16" hidden="1">
      <c r="A54" s="184" t="s">
        <v>49</v>
      </c>
      <c r="B54" s="179">
        <v>0</v>
      </c>
      <c r="C54" s="180">
        <v>0</v>
      </c>
      <c r="D54" s="181">
        <f t="shared" si="0"/>
        <v>0</v>
      </c>
      <c r="E54" s="2">
        <v>0</v>
      </c>
      <c r="F54" s="2">
        <v>0</v>
      </c>
      <c r="G54" s="2">
        <f t="shared" si="1"/>
        <v>0</v>
      </c>
      <c r="H54" s="2">
        <v>0</v>
      </c>
      <c r="I54" s="339">
        <v>0</v>
      </c>
      <c r="J54" s="339">
        <f t="shared" si="2"/>
        <v>0</v>
      </c>
      <c r="K54" s="339">
        <v>0</v>
      </c>
      <c r="L54" s="339">
        <v>0</v>
      </c>
      <c r="M54" s="339">
        <f t="shared" si="3"/>
        <v>0</v>
      </c>
    </row>
    <row r="55" spans="1:16" hidden="1">
      <c r="A55" s="184" t="s">
        <v>50</v>
      </c>
      <c r="B55" s="179">
        <v>0</v>
      </c>
      <c r="C55" s="180">
        <v>0</v>
      </c>
      <c r="D55" s="181">
        <f t="shared" si="0"/>
        <v>0</v>
      </c>
      <c r="E55" s="2">
        <v>0</v>
      </c>
      <c r="F55" s="2">
        <v>0</v>
      </c>
      <c r="G55" s="2">
        <f t="shared" si="1"/>
        <v>0</v>
      </c>
      <c r="H55" s="2">
        <v>0</v>
      </c>
      <c r="I55" s="339">
        <v>0</v>
      </c>
      <c r="J55" s="339">
        <f t="shared" si="2"/>
        <v>0</v>
      </c>
      <c r="K55" s="339">
        <v>0</v>
      </c>
      <c r="L55" s="339">
        <v>0</v>
      </c>
      <c r="M55" s="339">
        <f t="shared" si="3"/>
        <v>0</v>
      </c>
    </row>
    <row r="56" spans="1:16" hidden="1">
      <c r="A56" s="184" t="s">
        <v>44</v>
      </c>
      <c r="B56" s="179">
        <v>0</v>
      </c>
      <c r="C56" s="180">
        <v>6</v>
      </c>
      <c r="D56" s="181">
        <f t="shared" si="0"/>
        <v>6</v>
      </c>
      <c r="E56" s="2">
        <v>0</v>
      </c>
      <c r="F56" s="2">
        <v>1</v>
      </c>
      <c r="G56" s="2">
        <f t="shared" si="1"/>
        <v>1</v>
      </c>
      <c r="H56" s="2">
        <v>0</v>
      </c>
      <c r="I56" s="339">
        <v>1</v>
      </c>
      <c r="J56" s="339">
        <f t="shared" si="2"/>
        <v>1</v>
      </c>
      <c r="K56" s="339">
        <v>0</v>
      </c>
      <c r="L56" s="339">
        <v>2</v>
      </c>
      <c r="M56" s="339">
        <f t="shared" si="3"/>
        <v>2</v>
      </c>
    </row>
    <row r="57" spans="1:16" hidden="1">
      <c r="A57" s="184" t="s">
        <v>45</v>
      </c>
      <c r="B57" s="179">
        <v>0</v>
      </c>
      <c r="C57" s="180">
        <v>7</v>
      </c>
      <c r="D57" s="181">
        <f t="shared" si="0"/>
        <v>7</v>
      </c>
      <c r="E57" s="2">
        <v>0</v>
      </c>
      <c r="F57" s="2">
        <v>1</v>
      </c>
      <c r="G57" s="2">
        <f t="shared" si="1"/>
        <v>1</v>
      </c>
      <c r="H57" s="2">
        <v>0</v>
      </c>
      <c r="I57" s="339">
        <v>1</v>
      </c>
      <c r="J57" s="339">
        <f t="shared" si="2"/>
        <v>1</v>
      </c>
      <c r="K57" s="339">
        <v>0</v>
      </c>
      <c r="L57" s="339">
        <v>1</v>
      </c>
      <c r="M57" s="339">
        <f>SUM(K57:L57)</f>
        <v>1</v>
      </c>
    </row>
    <row r="58" spans="1:16" hidden="1">
      <c r="A58" s="184" t="s">
        <v>46</v>
      </c>
      <c r="B58" s="179">
        <v>0</v>
      </c>
      <c r="C58" s="180">
        <v>6</v>
      </c>
      <c r="D58" s="181">
        <f t="shared" si="0"/>
        <v>6</v>
      </c>
      <c r="E58" s="2">
        <v>0</v>
      </c>
      <c r="F58" s="2">
        <v>2</v>
      </c>
      <c r="G58" s="2">
        <f t="shared" si="1"/>
        <v>2</v>
      </c>
      <c r="H58" s="2">
        <v>0</v>
      </c>
      <c r="I58" s="339">
        <v>2</v>
      </c>
      <c r="J58" s="339">
        <f t="shared" si="2"/>
        <v>2</v>
      </c>
      <c r="K58" s="339">
        <v>0</v>
      </c>
      <c r="L58" s="339">
        <v>1</v>
      </c>
      <c r="M58" s="339">
        <f t="shared" si="3"/>
        <v>1</v>
      </c>
    </row>
    <row r="59" spans="1:16" hidden="1">
      <c r="A59" s="184" t="s">
        <v>47</v>
      </c>
      <c r="B59" s="179">
        <v>0</v>
      </c>
      <c r="C59" s="180">
        <v>0</v>
      </c>
      <c r="D59" s="181">
        <f t="shared" si="0"/>
        <v>0</v>
      </c>
      <c r="E59" s="2">
        <v>0</v>
      </c>
      <c r="F59" s="2">
        <v>0</v>
      </c>
      <c r="G59" s="2">
        <f t="shared" si="1"/>
        <v>0</v>
      </c>
      <c r="H59" s="2">
        <v>0</v>
      </c>
      <c r="I59" s="339">
        <v>0</v>
      </c>
      <c r="J59" s="339">
        <f t="shared" si="2"/>
        <v>0</v>
      </c>
      <c r="K59" s="339">
        <v>0</v>
      </c>
      <c r="L59" s="339">
        <v>0</v>
      </c>
      <c r="M59" s="339">
        <f t="shared" si="3"/>
        <v>0</v>
      </c>
    </row>
    <row r="60" spans="1:16" ht="12.75" hidden="1" thickBot="1">
      <c r="A60" s="184"/>
      <c r="B60" s="179">
        <f t="shared" ref="B60:M60" si="4">SUM(B52:B59)</f>
        <v>0</v>
      </c>
      <c r="C60" s="189">
        <f t="shared" si="4"/>
        <v>19</v>
      </c>
      <c r="D60" s="166">
        <f t="shared" si="4"/>
        <v>19</v>
      </c>
      <c r="E60" s="2">
        <f t="shared" si="4"/>
        <v>0</v>
      </c>
      <c r="F60" s="190">
        <f t="shared" si="4"/>
        <v>4</v>
      </c>
      <c r="G60" s="2">
        <f t="shared" si="4"/>
        <v>4</v>
      </c>
      <c r="H60" s="2">
        <f t="shared" si="4"/>
        <v>0</v>
      </c>
      <c r="I60" s="343">
        <f t="shared" si="4"/>
        <v>4</v>
      </c>
      <c r="J60" s="339">
        <f t="shared" si="4"/>
        <v>4</v>
      </c>
      <c r="K60" s="339">
        <f t="shared" si="4"/>
        <v>0</v>
      </c>
      <c r="L60" s="343">
        <f t="shared" si="4"/>
        <v>4</v>
      </c>
      <c r="M60" s="339">
        <f t="shared" si="4"/>
        <v>4</v>
      </c>
      <c r="O60" s="339" t="s">
        <v>59</v>
      </c>
      <c r="P60" s="344">
        <f>SUM(C60+F60+I60+L60)</f>
        <v>31</v>
      </c>
    </row>
    <row r="61" spans="1:16" hidden="1">
      <c r="A61" s="184"/>
      <c r="B61" s="179"/>
      <c r="C61" s="179"/>
      <c r="D61" s="179"/>
      <c r="H61" s="179"/>
    </row>
    <row r="62" spans="1:16" hidden="1">
      <c r="A62" s="185"/>
      <c r="B62" s="181" t="s">
        <v>53</v>
      </c>
      <c r="C62" s="191" t="s">
        <v>51</v>
      </c>
      <c r="D62" s="181" t="s">
        <v>52</v>
      </c>
      <c r="H62" s="181" t="s">
        <v>54</v>
      </c>
      <c r="I62" s="345" t="s">
        <v>51</v>
      </c>
      <c r="J62" s="339" t="s">
        <v>52</v>
      </c>
    </row>
    <row r="63" spans="1:16" hidden="1">
      <c r="A63" s="185" t="s">
        <v>41</v>
      </c>
      <c r="B63" s="181">
        <v>0</v>
      </c>
      <c r="C63" s="181">
        <v>6</v>
      </c>
      <c r="D63" s="181">
        <f>SUM(B63:C63)</f>
        <v>6</v>
      </c>
      <c r="H63" s="181">
        <v>0</v>
      </c>
      <c r="I63" s="339">
        <v>2</v>
      </c>
      <c r="J63" s="339">
        <f>SUM(H63:I63)</f>
        <v>2</v>
      </c>
    </row>
    <row r="64" spans="1:16" hidden="1">
      <c r="A64" s="185" t="s">
        <v>42</v>
      </c>
      <c r="B64" s="181">
        <v>0</v>
      </c>
      <c r="C64" s="181">
        <v>7</v>
      </c>
      <c r="D64" s="181">
        <f t="shared" ref="D64:D66" si="5">SUM(B64:C64)</f>
        <v>7</v>
      </c>
      <c r="H64" s="181">
        <v>0</v>
      </c>
      <c r="I64" s="339">
        <v>1</v>
      </c>
      <c r="J64" s="339">
        <f t="shared" ref="J64:J66" si="6">SUM(H64:I64)</f>
        <v>1</v>
      </c>
    </row>
    <row r="65" spans="1:13" hidden="1">
      <c r="A65" s="185" t="s">
        <v>43</v>
      </c>
      <c r="B65" s="181">
        <v>0</v>
      </c>
      <c r="C65" s="181">
        <v>6</v>
      </c>
      <c r="D65" s="181">
        <f t="shared" si="5"/>
        <v>6</v>
      </c>
      <c r="H65" s="181">
        <v>0</v>
      </c>
      <c r="I65" s="339">
        <v>1</v>
      </c>
      <c r="J65" s="339">
        <f t="shared" si="6"/>
        <v>1</v>
      </c>
    </row>
    <row r="66" spans="1:13" hidden="1">
      <c r="A66" s="185" t="s">
        <v>40</v>
      </c>
      <c r="B66" s="181">
        <v>0</v>
      </c>
      <c r="C66" s="181"/>
      <c r="D66" s="181">
        <f t="shared" si="5"/>
        <v>0</v>
      </c>
      <c r="H66" s="181">
        <v>0</v>
      </c>
      <c r="I66" s="339">
        <v>0</v>
      </c>
      <c r="J66" s="339">
        <f t="shared" si="6"/>
        <v>0</v>
      </c>
    </row>
    <row r="67" spans="1:13" ht="12.75" hidden="1" thickBot="1">
      <c r="A67" s="185"/>
      <c r="B67" s="181"/>
      <c r="C67" s="190">
        <f>SUM(C63:C66)</f>
        <v>19</v>
      </c>
      <c r="D67" s="2">
        <f>SUM(D63:D66)</f>
        <v>19</v>
      </c>
      <c r="I67" s="343">
        <f>SUM(I63:I66)</f>
        <v>4</v>
      </c>
      <c r="J67" s="339">
        <f>SUM(J63:J66)</f>
        <v>4</v>
      </c>
      <c r="L67" s="339" t="s">
        <v>59</v>
      </c>
      <c r="M67" s="344">
        <f>C67+I67*3</f>
        <v>31</v>
      </c>
    </row>
    <row r="68" spans="1:13" hidden="1">
      <c r="A68" s="185"/>
      <c r="B68" s="181"/>
    </row>
    <row r="69" spans="1:13" hidden="1">
      <c r="A69" s="10"/>
      <c r="B69" s="2" t="s">
        <v>60</v>
      </c>
      <c r="C69" s="2" t="s">
        <v>61</v>
      </c>
      <c r="F69" s="2" t="s">
        <v>63</v>
      </c>
      <c r="G69" s="2" t="s">
        <v>51</v>
      </c>
    </row>
    <row r="70" spans="1:13" hidden="1">
      <c r="A70" s="184" t="s">
        <v>73</v>
      </c>
      <c r="E70" s="179" t="s">
        <v>73</v>
      </c>
      <c r="F70" s="2">
        <v>0</v>
      </c>
      <c r="G70" s="2">
        <v>0</v>
      </c>
    </row>
    <row r="71" spans="1:13" hidden="1">
      <c r="A71" s="184" t="s">
        <v>48</v>
      </c>
      <c r="E71" s="179" t="s">
        <v>48</v>
      </c>
      <c r="F71" s="2">
        <v>0</v>
      </c>
      <c r="G71" s="2">
        <v>0</v>
      </c>
    </row>
    <row r="72" spans="1:13" hidden="1">
      <c r="A72" s="184" t="s">
        <v>49</v>
      </c>
      <c r="E72" s="179" t="s">
        <v>49</v>
      </c>
      <c r="F72" s="2">
        <v>0</v>
      </c>
      <c r="G72" s="2">
        <v>0</v>
      </c>
    </row>
    <row r="73" spans="1:13" hidden="1">
      <c r="A73" s="184" t="s">
        <v>50</v>
      </c>
      <c r="E73" s="179" t="s">
        <v>50</v>
      </c>
      <c r="F73" s="2">
        <v>0</v>
      </c>
      <c r="G73" s="2">
        <v>0</v>
      </c>
    </row>
    <row r="74" spans="1:13" hidden="1">
      <c r="A74" s="184" t="s">
        <v>44</v>
      </c>
      <c r="E74" s="179" t="s">
        <v>44</v>
      </c>
      <c r="F74" s="2">
        <v>0</v>
      </c>
      <c r="G74" s="2">
        <v>1</v>
      </c>
    </row>
    <row r="75" spans="1:13" hidden="1">
      <c r="A75" s="184" t="s">
        <v>45</v>
      </c>
      <c r="B75" s="2">
        <v>1</v>
      </c>
      <c r="E75" s="179" t="s">
        <v>45</v>
      </c>
      <c r="F75" s="2">
        <v>0</v>
      </c>
      <c r="G75" s="2">
        <v>1</v>
      </c>
    </row>
    <row r="76" spans="1:13" hidden="1">
      <c r="A76" s="184" t="s">
        <v>46</v>
      </c>
      <c r="E76" s="179" t="s">
        <v>46</v>
      </c>
      <c r="F76" s="2">
        <v>0</v>
      </c>
      <c r="G76" s="2">
        <v>1</v>
      </c>
    </row>
    <row r="77" spans="1:13" hidden="1">
      <c r="A77" s="184" t="s">
        <v>47</v>
      </c>
      <c r="E77" s="179" t="s">
        <v>47</v>
      </c>
      <c r="F77" s="2">
        <v>0</v>
      </c>
      <c r="G77" s="2">
        <v>1</v>
      </c>
    </row>
    <row r="78" spans="1:13" hidden="1">
      <c r="A78" s="185" t="s">
        <v>41</v>
      </c>
      <c r="B78" s="2">
        <v>1</v>
      </c>
    </row>
    <row r="79" spans="1:13" hidden="1">
      <c r="A79" s="185" t="s">
        <v>42</v>
      </c>
    </row>
    <row r="80" spans="1:13" hidden="1">
      <c r="A80" s="185" t="s">
        <v>43</v>
      </c>
    </row>
    <row r="81" spans="1:1" hidden="1">
      <c r="A81" s="185" t="s">
        <v>40</v>
      </c>
    </row>
    <row r="82" spans="1:1">
      <c r="A82" s="185"/>
    </row>
    <row r="83" spans="1:1">
      <c r="A83" s="4" t="s">
        <v>102</v>
      </c>
    </row>
  </sheetData>
  <mergeCells count="1">
    <mergeCell ref="B1:H1"/>
  </mergeCells>
  <phoneticPr fontId="3" type="noConversion"/>
  <pageMargins left="0.3" right="0.25" top="0.6" bottom="0.25" header="0.3" footer="0.3"/>
  <pageSetup scale="90" orientation="landscape" r:id="rId1"/>
  <headerFooter>
    <oddHeader>&amp;C&amp;"Times New Roman,Bold"Ophthalmology Resident Call/Rounds Presentation/Vacation Schedule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85"/>
  <sheetViews>
    <sheetView zoomScale="78" zoomScaleNormal="78" zoomScalePageLayoutView="150" workbookViewId="0">
      <selection activeCell="E34" sqref="E34"/>
    </sheetView>
  </sheetViews>
  <sheetFormatPr defaultColWidth="8.7109375" defaultRowHeight="12"/>
  <cols>
    <col min="1" max="8" width="18.7109375" style="2" customWidth="1"/>
    <col min="9" max="10" width="8.7109375" style="2"/>
    <col min="11" max="11" width="14.5703125" style="2" bestFit="1" customWidth="1"/>
    <col min="12" max="16384" width="8.7109375" style="2"/>
  </cols>
  <sheetData>
    <row r="1" spans="1:12" ht="16.5" thickBot="1">
      <c r="A1" s="4"/>
      <c r="B1" s="407" t="s">
        <v>83</v>
      </c>
      <c r="C1" s="408"/>
      <c r="D1" s="408"/>
      <c r="E1" s="408"/>
      <c r="F1" s="408"/>
      <c r="G1" s="408"/>
      <c r="H1" s="408"/>
    </row>
    <row r="2" spans="1:12" ht="12.75" customHeight="1" thickBot="1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</row>
    <row r="3" spans="1:12" ht="13.35" customHeight="1">
      <c r="A3" s="22"/>
      <c r="B3" s="46"/>
      <c r="C3" s="32"/>
      <c r="D3" s="33"/>
      <c r="E3" s="24">
        <v>1</v>
      </c>
      <c r="F3" s="24">
        <v>2</v>
      </c>
      <c r="G3" s="93">
        <v>3</v>
      </c>
      <c r="H3" s="66">
        <v>4</v>
      </c>
    </row>
    <row r="4" spans="1:12" ht="13.35" customHeight="1">
      <c r="A4" s="11" t="s">
        <v>7</v>
      </c>
      <c r="B4" s="35"/>
      <c r="D4" s="34"/>
      <c r="E4" s="13" t="s">
        <v>34</v>
      </c>
      <c r="F4" s="13" t="s">
        <v>134</v>
      </c>
      <c r="G4" s="14" t="s">
        <v>36</v>
      </c>
      <c r="H4" s="298" t="s">
        <v>137</v>
      </c>
    </row>
    <row r="5" spans="1:12" ht="13.35" customHeight="1">
      <c r="A5" s="84" t="s">
        <v>8</v>
      </c>
      <c r="B5" s="35"/>
      <c r="D5" s="34"/>
      <c r="E5" s="92"/>
      <c r="F5" s="92"/>
      <c r="G5" s="92"/>
      <c r="H5" s="92"/>
      <c r="J5"/>
      <c r="K5" s="4" t="s">
        <v>67</v>
      </c>
      <c r="L5" s="4" t="s">
        <v>68</v>
      </c>
    </row>
    <row r="6" spans="1:12" ht="13.35" customHeight="1">
      <c r="A6" s="15" t="s">
        <v>9</v>
      </c>
      <c r="B6" s="35"/>
      <c r="D6" s="34"/>
      <c r="E6" s="14" t="s">
        <v>26</v>
      </c>
      <c r="F6" s="18" t="s">
        <v>25</v>
      </c>
      <c r="G6" s="18" t="s">
        <v>24</v>
      </c>
      <c r="H6" s="26" t="s">
        <v>24</v>
      </c>
      <c r="J6" s="181" t="s">
        <v>44</v>
      </c>
      <c r="K6" s="222" t="s">
        <v>170</v>
      </c>
      <c r="L6" s="222" t="s">
        <v>70</v>
      </c>
    </row>
    <row r="7" spans="1:12" ht="13.35" customHeight="1">
      <c r="A7" s="15" t="s">
        <v>10</v>
      </c>
      <c r="B7" s="35"/>
      <c r="D7" s="34"/>
      <c r="E7" s="18" t="s">
        <v>62</v>
      </c>
      <c r="F7" s="92"/>
      <c r="G7" s="92"/>
      <c r="H7" s="92"/>
      <c r="J7" s="181" t="s">
        <v>46</v>
      </c>
      <c r="K7" s="4" t="s">
        <v>65</v>
      </c>
      <c r="L7" s="4" t="s">
        <v>302</v>
      </c>
    </row>
    <row r="8" spans="1:12" ht="13.35" customHeight="1" thickBot="1">
      <c r="A8" s="22" t="s">
        <v>11</v>
      </c>
      <c r="B8" s="35"/>
      <c r="D8" s="34"/>
      <c r="E8" s="361" t="s">
        <v>146</v>
      </c>
      <c r="F8" s="361" t="s">
        <v>146</v>
      </c>
      <c r="G8" s="361" t="s">
        <v>146</v>
      </c>
      <c r="H8" s="299"/>
      <c r="J8" s="181" t="s">
        <v>47</v>
      </c>
      <c r="K8" s="4" t="s">
        <v>66</v>
      </c>
      <c r="L8" s="4" t="s">
        <v>69</v>
      </c>
    </row>
    <row r="9" spans="1:12" ht="13.35" customHeight="1" thickBot="1">
      <c r="A9" s="87"/>
      <c r="B9" s="35"/>
      <c r="D9" s="34"/>
      <c r="E9" s="88" t="s">
        <v>35</v>
      </c>
      <c r="F9" s="88" t="s">
        <v>35</v>
      </c>
      <c r="G9" s="89" t="s">
        <v>370</v>
      </c>
      <c r="H9" s="380"/>
      <c r="J9" s="181" t="s">
        <v>35</v>
      </c>
      <c r="K9" s="2" t="s">
        <v>156</v>
      </c>
      <c r="L9" s="2" t="s">
        <v>171</v>
      </c>
    </row>
    <row r="10" spans="1:12" ht="13.35" customHeight="1" thickBot="1">
      <c r="A10" s="381"/>
      <c r="B10" s="382"/>
      <c r="C10" s="383"/>
      <c r="D10" s="384"/>
      <c r="E10" s="300"/>
      <c r="F10" s="300"/>
      <c r="G10" s="301" t="s">
        <v>197</v>
      </c>
      <c r="H10" s="385"/>
      <c r="J10" s="181" t="s">
        <v>36</v>
      </c>
      <c r="K10" s="2" t="s">
        <v>165</v>
      </c>
    </row>
    <row r="11" spans="1:12" ht="13.35" customHeight="1">
      <c r="A11" s="22"/>
      <c r="B11" s="9">
        <v>5</v>
      </c>
      <c r="C11" s="24">
        <v>6</v>
      </c>
      <c r="D11" s="23">
        <v>7</v>
      </c>
      <c r="E11" s="9">
        <v>8</v>
      </c>
      <c r="F11" s="9">
        <v>9</v>
      </c>
      <c r="G11" s="9">
        <v>10</v>
      </c>
      <c r="H11" s="33">
        <v>11</v>
      </c>
      <c r="J11" s="181" t="s">
        <v>34</v>
      </c>
      <c r="K11" s="2" t="s">
        <v>154</v>
      </c>
    </row>
    <row r="12" spans="1:12" ht="13.35" customHeight="1">
      <c r="A12" s="11" t="s">
        <v>7</v>
      </c>
      <c r="B12" s="4" t="s">
        <v>137</v>
      </c>
      <c r="C12" s="59" t="s">
        <v>35</v>
      </c>
      <c r="D12" s="49" t="s">
        <v>137</v>
      </c>
      <c r="E12" s="59" t="s">
        <v>135</v>
      </c>
      <c r="F12" s="59" t="s">
        <v>34</v>
      </c>
      <c r="G12" s="198" t="s">
        <v>134</v>
      </c>
      <c r="H12" s="194" t="s">
        <v>35</v>
      </c>
      <c r="J12" s="181" t="s">
        <v>72</v>
      </c>
      <c r="K12" s="2" t="s">
        <v>303</v>
      </c>
    </row>
    <row r="13" spans="1:12" ht="12.75" customHeight="1">
      <c r="A13" s="84" t="s">
        <v>8</v>
      </c>
      <c r="B13" s="109" t="s">
        <v>135</v>
      </c>
      <c r="C13" s="92"/>
      <c r="D13" s="92"/>
      <c r="E13" s="92"/>
      <c r="F13" s="92"/>
      <c r="G13" s="92"/>
      <c r="H13" s="92"/>
      <c r="J13" s="181" t="s">
        <v>137</v>
      </c>
      <c r="K13" s="2" t="s">
        <v>168</v>
      </c>
    </row>
    <row r="14" spans="1:12" ht="13.35" customHeight="1">
      <c r="A14" s="15" t="s">
        <v>9</v>
      </c>
      <c r="B14" s="13" t="s">
        <v>24</v>
      </c>
      <c r="C14" s="34" t="s">
        <v>26</v>
      </c>
      <c r="D14" s="34" t="s">
        <v>25</v>
      </c>
      <c r="E14" s="14" t="s">
        <v>146</v>
      </c>
      <c r="F14" s="14" t="s">
        <v>24</v>
      </c>
      <c r="G14" s="14" t="s">
        <v>25</v>
      </c>
      <c r="H14" s="34" t="s">
        <v>25</v>
      </c>
      <c r="J14" s="181" t="s">
        <v>306</v>
      </c>
      <c r="K14" s="2" t="s">
        <v>323</v>
      </c>
    </row>
    <row r="15" spans="1:12" ht="12" customHeight="1">
      <c r="A15" s="311" t="s">
        <v>10</v>
      </c>
      <c r="B15" s="19"/>
      <c r="C15" s="19"/>
      <c r="D15" s="27"/>
      <c r="E15" s="95" t="s">
        <v>135</v>
      </c>
      <c r="F15" s="19"/>
      <c r="G15" s="19"/>
      <c r="H15" s="27"/>
      <c r="J15" s="181" t="s">
        <v>307</v>
      </c>
      <c r="K15" s="2" t="s">
        <v>163</v>
      </c>
      <c r="L15" s="2" t="s">
        <v>167</v>
      </c>
    </row>
    <row r="16" spans="1:12" ht="13.35" customHeight="1">
      <c r="A16" s="22" t="s">
        <v>11</v>
      </c>
      <c r="B16" s="137"/>
      <c r="C16" s="34"/>
      <c r="D16" s="34"/>
      <c r="E16" s="14" t="s">
        <v>300</v>
      </c>
      <c r="F16" s="14" t="s">
        <v>259</v>
      </c>
      <c r="G16" s="14"/>
      <c r="H16" s="86"/>
      <c r="J16" s="181" t="s">
        <v>136</v>
      </c>
      <c r="K16" s="2" t="s">
        <v>173</v>
      </c>
    </row>
    <row r="17" spans="1:13" ht="13.35" customHeight="1">
      <c r="A17" s="22"/>
      <c r="B17" s="137"/>
      <c r="C17" s="34"/>
      <c r="D17" s="34"/>
      <c r="E17" s="14"/>
      <c r="F17" s="14"/>
      <c r="G17" s="14"/>
      <c r="H17" s="86"/>
    </row>
    <row r="18" spans="1:13" ht="13.35" customHeight="1" thickBot="1">
      <c r="A18" s="381"/>
      <c r="B18" s="386"/>
      <c r="C18" s="293"/>
      <c r="D18" s="293"/>
      <c r="E18" s="293"/>
      <c r="F18" s="300"/>
      <c r="G18" s="301"/>
      <c r="H18" s="387"/>
    </row>
    <row r="19" spans="1:13" ht="13.35" customHeight="1">
      <c r="A19" s="22"/>
      <c r="B19" s="9">
        <v>12</v>
      </c>
      <c r="C19" s="9">
        <v>13</v>
      </c>
      <c r="D19" s="9">
        <v>14</v>
      </c>
      <c r="E19" s="24" t="s">
        <v>113</v>
      </c>
      <c r="F19" s="66" t="s">
        <v>114</v>
      </c>
      <c r="G19" s="66" t="s">
        <v>115</v>
      </c>
      <c r="H19" s="66" t="s">
        <v>116</v>
      </c>
    </row>
    <row r="20" spans="1:13" ht="13.35" customHeight="1">
      <c r="A20" s="11" t="s">
        <v>7</v>
      </c>
      <c r="B20" s="198" t="s">
        <v>35</v>
      </c>
      <c r="C20" s="59" t="s">
        <v>134</v>
      </c>
      <c r="D20" s="59" t="s">
        <v>135</v>
      </c>
      <c r="E20" s="59" t="s">
        <v>35</v>
      </c>
      <c r="F20" s="59" t="s">
        <v>36</v>
      </c>
      <c r="G20" s="59" t="s">
        <v>72</v>
      </c>
      <c r="H20" s="49" t="s">
        <v>134</v>
      </c>
    </row>
    <row r="21" spans="1:13" ht="13.35" customHeight="1">
      <c r="A21" s="84" t="s">
        <v>8</v>
      </c>
      <c r="B21" s="18" t="s">
        <v>36</v>
      </c>
      <c r="C21" s="92"/>
      <c r="D21" s="92"/>
      <c r="E21" s="92"/>
      <c r="F21" s="92"/>
      <c r="G21" s="92"/>
      <c r="H21" s="92"/>
    </row>
    <row r="22" spans="1:13" ht="13.35" customHeight="1">
      <c r="A22" s="15" t="s">
        <v>9</v>
      </c>
      <c r="B22" s="13" t="s">
        <v>25</v>
      </c>
      <c r="C22" s="13" t="s">
        <v>26</v>
      </c>
      <c r="D22" s="13" t="s">
        <v>24</v>
      </c>
      <c r="E22" s="14" t="s">
        <v>146</v>
      </c>
      <c r="F22" s="14" t="s">
        <v>146</v>
      </c>
      <c r="G22" s="14" t="s">
        <v>26</v>
      </c>
      <c r="H22" s="34" t="s">
        <v>26</v>
      </c>
    </row>
    <row r="23" spans="1:13" ht="13.35" customHeight="1">
      <c r="A23" s="85" t="s">
        <v>18</v>
      </c>
      <c r="B23" s="19"/>
      <c r="C23" s="19"/>
      <c r="D23" s="19"/>
      <c r="E23" s="18" t="s">
        <v>134</v>
      </c>
      <c r="F23" s="19"/>
      <c r="G23" s="19"/>
      <c r="H23" s="27"/>
    </row>
    <row r="24" spans="1:13" ht="13.35" customHeight="1">
      <c r="A24" s="22" t="s">
        <v>11</v>
      </c>
      <c r="B24" s="94"/>
      <c r="C24" s="57" t="s">
        <v>34</v>
      </c>
      <c r="D24" s="34" t="s">
        <v>34</v>
      </c>
      <c r="E24" s="14" t="s">
        <v>225</v>
      </c>
      <c r="F24" s="14" t="s">
        <v>225</v>
      </c>
      <c r="G24" s="14" t="s">
        <v>225</v>
      </c>
      <c r="H24" s="96"/>
    </row>
    <row r="25" spans="1:13" ht="13.35" customHeight="1">
      <c r="A25" s="87"/>
      <c r="B25" s="138"/>
      <c r="C25" s="361" t="s">
        <v>137</v>
      </c>
      <c r="D25" s="14" t="s">
        <v>137</v>
      </c>
      <c r="E25" s="88" t="s">
        <v>34</v>
      </c>
      <c r="F25" s="88" t="s">
        <v>34</v>
      </c>
      <c r="G25" s="365" t="s">
        <v>282</v>
      </c>
      <c r="H25" s="139"/>
    </row>
    <row r="26" spans="1:13" ht="13.35" customHeight="1" thickBot="1">
      <c r="A26" s="381"/>
      <c r="B26" s="138"/>
      <c r="C26" s="293"/>
      <c r="D26" s="293"/>
      <c r="E26" s="310" t="s">
        <v>137</v>
      </c>
      <c r="F26" s="310" t="s">
        <v>137</v>
      </c>
      <c r="G26" s="310" t="s">
        <v>137</v>
      </c>
      <c r="H26" s="299"/>
    </row>
    <row r="27" spans="1:13" ht="13.35" customHeight="1">
      <c r="A27" s="22"/>
      <c r="B27" s="9">
        <v>19</v>
      </c>
      <c r="C27" s="30">
        <v>20</v>
      </c>
      <c r="D27" s="30">
        <v>21</v>
      </c>
      <c r="E27" s="30">
        <v>22</v>
      </c>
      <c r="F27" s="9">
        <v>23</v>
      </c>
      <c r="G27" s="133">
        <v>24</v>
      </c>
      <c r="H27" s="90">
        <v>25</v>
      </c>
    </row>
    <row r="28" spans="1:13" ht="13.35" customHeight="1">
      <c r="A28" s="11" t="s">
        <v>7</v>
      </c>
      <c r="B28" s="59" t="s">
        <v>134</v>
      </c>
      <c r="C28" s="59" t="s">
        <v>137</v>
      </c>
      <c r="D28" s="59" t="s">
        <v>72</v>
      </c>
      <c r="E28" s="59" t="s">
        <v>34</v>
      </c>
      <c r="F28" s="59" t="s">
        <v>134</v>
      </c>
      <c r="G28" s="140" t="s">
        <v>137</v>
      </c>
      <c r="H28" s="141" t="s">
        <v>36</v>
      </c>
      <c r="J28" s="346" t="s">
        <v>284</v>
      </c>
      <c r="K28" s="229"/>
      <c r="L28" s="229"/>
      <c r="M28" s="229"/>
    </row>
    <row r="29" spans="1:13" ht="13.35" customHeight="1">
      <c r="A29" s="84" t="s">
        <v>8</v>
      </c>
      <c r="B29" s="18" t="s">
        <v>72</v>
      </c>
      <c r="C29" s="92"/>
      <c r="D29" s="92"/>
      <c r="E29" s="92"/>
      <c r="F29" s="92"/>
      <c r="G29" s="142"/>
      <c r="H29" s="143"/>
      <c r="J29" s="4" t="s">
        <v>283</v>
      </c>
      <c r="K29" s="4"/>
      <c r="L29" s="4"/>
      <c r="M29" s="4"/>
    </row>
    <row r="30" spans="1:13" ht="13.35" customHeight="1">
      <c r="A30" s="15" t="s">
        <v>9</v>
      </c>
      <c r="B30" s="13" t="s">
        <v>26</v>
      </c>
      <c r="C30" s="169" t="s">
        <v>25</v>
      </c>
      <c r="D30" s="169" t="s">
        <v>146</v>
      </c>
      <c r="E30" s="169" t="s">
        <v>25</v>
      </c>
      <c r="F30" s="169" t="s">
        <v>26</v>
      </c>
      <c r="G30" s="145" t="s">
        <v>146</v>
      </c>
      <c r="H30" s="146" t="s">
        <v>146</v>
      </c>
      <c r="J30" s="4" t="s">
        <v>128</v>
      </c>
      <c r="K30" s="4"/>
      <c r="L30" s="4"/>
      <c r="M30" s="4"/>
    </row>
    <row r="31" spans="1:13" s="39" customFormat="1" ht="13.35" customHeight="1">
      <c r="A31" s="15" t="s">
        <v>18</v>
      </c>
      <c r="B31" s="19"/>
      <c r="C31" s="19"/>
      <c r="D31" s="19"/>
      <c r="E31" s="18" t="s">
        <v>137</v>
      </c>
      <c r="F31" s="92"/>
      <c r="G31" s="147"/>
      <c r="H31" s="176"/>
      <c r="J31" s="222" t="s">
        <v>345</v>
      </c>
      <c r="K31" s="222"/>
      <c r="L31" s="222"/>
      <c r="M31" s="222"/>
    </row>
    <row r="32" spans="1:13" ht="13.35" customHeight="1">
      <c r="A32" s="22" t="s">
        <v>11</v>
      </c>
      <c r="B32" s="94"/>
      <c r="C32" s="57" t="s">
        <v>135</v>
      </c>
      <c r="D32" s="57" t="s">
        <v>135</v>
      </c>
      <c r="E32" s="57" t="s">
        <v>24</v>
      </c>
      <c r="F32" s="57" t="s">
        <v>24</v>
      </c>
      <c r="G32" s="148" t="s">
        <v>24</v>
      </c>
      <c r="H32" s="96"/>
    </row>
    <row r="33" spans="1:9" ht="13.35" customHeight="1">
      <c r="A33" s="87"/>
      <c r="B33" s="138"/>
      <c r="C33" s="14"/>
      <c r="D33" s="34"/>
      <c r="E33" s="14" t="s">
        <v>135</v>
      </c>
      <c r="F33" s="14" t="s">
        <v>135</v>
      </c>
      <c r="G33" s="14" t="s">
        <v>25</v>
      </c>
      <c r="H33" s="139"/>
    </row>
    <row r="34" spans="1:9" ht="13.35" customHeight="1" thickBot="1">
      <c r="A34" s="381"/>
      <c r="B34" s="138"/>
      <c r="C34" s="293"/>
      <c r="D34" s="384"/>
      <c r="E34" s="293"/>
      <c r="F34" s="293"/>
      <c r="G34" s="293" t="s">
        <v>135</v>
      </c>
      <c r="H34" s="299"/>
    </row>
    <row r="35" spans="1:9" ht="13.35" customHeight="1">
      <c r="A35" s="22"/>
      <c r="B35" s="24">
        <v>26</v>
      </c>
      <c r="C35" s="30">
        <v>27</v>
      </c>
      <c r="D35" s="30">
        <v>28</v>
      </c>
      <c r="E35" s="30">
        <v>29</v>
      </c>
      <c r="F35" s="30">
        <v>30</v>
      </c>
      <c r="G35" s="149"/>
      <c r="H35" s="150"/>
    </row>
    <row r="36" spans="1:9" ht="13.35" customHeight="1">
      <c r="A36" s="11" t="s">
        <v>7</v>
      </c>
      <c r="B36" s="59" t="s">
        <v>36</v>
      </c>
      <c r="C36" s="59" t="s">
        <v>72</v>
      </c>
      <c r="D36" s="59" t="s">
        <v>137</v>
      </c>
      <c r="E36" s="59" t="s">
        <v>35</v>
      </c>
      <c r="F36" s="59" t="s">
        <v>72</v>
      </c>
      <c r="G36" s="75"/>
      <c r="H36" s="76"/>
    </row>
    <row r="37" spans="1:9" ht="13.35" customHeight="1">
      <c r="A37" s="84" t="s">
        <v>8</v>
      </c>
      <c r="B37" s="77" t="s">
        <v>134</v>
      </c>
      <c r="C37" s="92"/>
      <c r="D37" s="92"/>
      <c r="E37" s="92"/>
      <c r="F37" s="92"/>
      <c r="G37" s="51"/>
      <c r="H37" s="49"/>
    </row>
    <row r="38" spans="1:9" ht="13.35" customHeight="1">
      <c r="A38" s="15" t="s">
        <v>9</v>
      </c>
      <c r="B38" s="91" t="s">
        <v>146</v>
      </c>
      <c r="C38" s="169" t="s">
        <v>26</v>
      </c>
      <c r="D38" s="169" t="s">
        <v>24</v>
      </c>
      <c r="E38" s="169" t="s">
        <v>25</v>
      </c>
      <c r="F38" s="144" t="s">
        <v>24</v>
      </c>
      <c r="G38" s="51"/>
      <c r="H38" s="49"/>
    </row>
    <row r="39" spans="1:9" s="39" customFormat="1" ht="13.35" customHeight="1">
      <c r="A39" s="15" t="s">
        <v>18</v>
      </c>
      <c r="B39" s="19"/>
      <c r="C39" s="92"/>
      <c r="D39" s="92"/>
      <c r="E39" s="18" t="s">
        <v>72</v>
      </c>
      <c r="F39" s="18"/>
      <c r="G39" s="2"/>
      <c r="H39" s="49"/>
    </row>
    <row r="40" spans="1:9" s="39" customFormat="1" ht="13.35" customHeight="1">
      <c r="A40" s="87" t="s">
        <v>11</v>
      </c>
      <c r="B40" s="151"/>
      <c r="C40" s="57" t="s">
        <v>373</v>
      </c>
      <c r="D40" s="57"/>
      <c r="E40" s="57" t="s">
        <v>370</v>
      </c>
      <c r="F40" s="148"/>
      <c r="G40" s="51"/>
      <c r="H40" s="49"/>
    </row>
    <row r="41" spans="1:9" ht="13.35" customHeight="1">
      <c r="A41" s="87"/>
      <c r="B41" s="58"/>
      <c r="C41" s="14" t="s">
        <v>35</v>
      </c>
      <c r="D41" s="14"/>
      <c r="E41" s="14"/>
      <c r="F41" s="14"/>
      <c r="G41" s="51"/>
      <c r="H41" s="49"/>
    </row>
    <row r="42" spans="1:9" ht="12.75" thickBot="1">
      <c r="A42" s="381"/>
      <c r="B42" s="58"/>
      <c r="C42" s="293"/>
      <c r="D42" s="384"/>
      <c r="E42" s="293"/>
      <c r="F42" s="293"/>
      <c r="G42" s="388"/>
      <c r="H42" s="389"/>
    </row>
    <row r="43" spans="1:9">
      <c r="A43" s="37" t="s">
        <v>17</v>
      </c>
      <c r="B43" s="51"/>
      <c r="E43" s="51"/>
      <c r="F43" s="152"/>
      <c r="G43" s="153"/>
      <c r="H43" s="1" t="s">
        <v>374</v>
      </c>
    </row>
    <row r="44" spans="1:9">
      <c r="A44" s="2" t="s">
        <v>22</v>
      </c>
      <c r="G44" s="40" t="s">
        <v>13</v>
      </c>
    </row>
    <row r="45" spans="1:9">
      <c r="A45" s="2" t="s">
        <v>117</v>
      </c>
      <c r="G45" s="2" t="s">
        <v>23</v>
      </c>
    </row>
    <row r="46" spans="1:9" ht="12" customHeight="1">
      <c r="A46" s="39"/>
      <c r="I46" s="4"/>
    </row>
    <row r="47" spans="1:9" ht="12" customHeight="1">
      <c r="A47" s="178" t="s">
        <v>266</v>
      </c>
      <c r="B47" s="51"/>
      <c r="C47" s="51"/>
      <c r="D47" s="51"/>
      <c r="E47" s="51"/>
      <c r="F47" s="51"/>
      <c r="G47" s="51"/>
      <c r="H47" s="51"/>
      <c r="I47" s="3"/>
    </row>
    <row r="48" spans="1:9" ht="12" customHeight="1" thickBot="1">
      <c r="A48" s="51" t="s">
        <v>143</v>
      </c>
      <c r="B48" s="51"/>
      <c r="C48" s="51"/>
      <c r="D48" s="51"/>
      <c r="E48" s="51"/>
      <c r="F48" s="51"/>
      <c r="G48" s="51"/>
      <c r="H48" s="51"/>
      <c r="I48" s="3"/>
    </row>
    <row r="49" spans="1:16" ht="12" customHeight="1">
      <c r="A49" s="75" t="s">
        <v>14</v>
      </c>
      <c r="B49" s="81"/>
      <c r="C49" s="175" t="s">
        <v>1</v>
      </c>
      <c r="D49" s="175" t="s">
        <v>2</v>
      </c>
      <c r="E49" s="175" t="s">
        <v>3</v>
      </c>
      <c r="F49" s="175" t="s">
        <v>4</v>
      </c>
      <c r="G49" s="175" t="s">
        <v>5</v>
      </c>
      <c r="H49" s="51"/>
      <c r="I49" s="3"/>
    </row>
    <row r="50" spans="1:16" ht="12" customHeight="1">
      <c r="A50" s="75"/>
      <c r="B50" s="173" t="s">
        <v>32</v>
      </c>
      <c r="C50" s="59" t="s">
        <v>267</v>
      </c>
      <c r="D50" s="174"/>
      <c r="E50" s="174"/>
      <c r="F50" s="174"/>
      <c r="G50" s="174"/>
      <c r="H50" s="51"/>
      <c r="I50" s="3"/>
    </row>
    <row r="51" spans="1:16" ht="12" customHeight="1">
      <c r="A51" s="39"/>
      <c r="B51" s="173" t="s">
        <v>15</v>
      </c>
      <c r="C51" s="170" t="s">
        <v>137</v>
      </c>
      <c r="D51" s="170" t="s">
        <v>35</v>
      </c>
      <c r="E51" s="170" t="s">
        <v>72</v>
      </c>
      <c r="F51" s="170" t="s">
        <v>36</v>
      </c>
      <c r="G51" s="170" t="s">
        <v>34</v>
      </c>
      <c r="I51" s="4"/>
    </row>
    <row r="52" spans="1:16" ht="15">
      <c r="A52" s="39"/>
      <c r="B52" s="231"/>
      <c r="C52" s="233"/>
      <c r="D52" s="233" t="s">
        <v>134</v>
      </c>
      <c r="E52" s="233"/>
      <c r="F52" s="233"/>
      <c r="G52" s="233" t="s">
        <v>135</v>
      </c>
      <c r="I52" s="4"/>
    </row>
    <row r="55" spans="1:16" ht="15">
      <c r="A55"/>
      <c r="B55" s="370" t="s">
        <v>53</v>
      </c>
      <c r="C55" s="370" t="s">
        <v>324</v>
      </c>
      <c r="D55" s="370" t="s">
        <v>52</v>
      </c>
      <c r="E55" s="370" t="s">
        <v>58</v>
      </c>
      <c r="F55" s="370" t="s">
        <v>324</v>
      </c>
      <c r="G55" s="370" t="s">
        <v>52</v>
      </c>
      <c r="H55" s="370" t="s">
        <v>74</v>
      </c>
      <c r="I55" s="370" t="s">
        <v>324</v>
      </c>
      <c r="J55" s="370" t="s">
        <v>52</v>
      </c>
      <c r="K55" s="370" t="s">
        <v>54</v>
      </c>
      <c r="L55" s="370" t="s">
        <v>324</v>
      </c>
      <c r="M55" s="370" t="s">
        <v>52</v>
      </c>
      <c r="N55"/>
      <c r="O55"/>
      <c r="P55"/>
    </row>
    <row r="56" spans="1:16" ht="15">
      <c r="A56" s="371" t="s">
        <v>73</v>
      </c>
      <c r="B56" s="181">
        <v>7</v>
      </c>
      <c r="C56" s="181">
        <f>COUNTIF(C4:F36,"Sears")</f>
        <v>3</v>
      </c>
      <c r="D56" s="181">
        <f>SUM(B56:C56)</f>
        <v>10</v>
      </c>
      <c r="E56" s="4">
        <v>2</v>
      </c>
      <c r="F56" s="181">
        <v>1</v>
      </c>
      <c r="G56" s="4">
        <f>SUM(E56:F56)</f>
        <v>3</v>
      </c>
      <c r="H56" s="4">
        <v>2</v>
      </c>
      <c r="I56" s="181">
        <f>COUNTIF(G4:G35,"Sears")</f>
        <v>1</v>
      </c>
      <c r="J56" s="4">
        <f>SUM(H56:I56)</f>
        <v>3</v>
      </c>
      <c r="K56" s="181">
        <v>2</v>
      </c>
      <c r="L56" s="181"/>
      <c r="M56" s="181">
        <f>SUM(K56:L56)</f>
        <v>2</v>
      </c>
      <c r="N56"/>
      <c r="O56"/>
      <c r="P56" s="4"/>
    </row>
    <row r="57" spans="1:16" ht="15">
      <c r="A57" s="371" t="s">
        <v>48</v>
      </c>
      <c r="B57" s="181">
        <v>6</v>
      </c>
      <c r="C57" s="181">
        <f>COUNTIF(C4:F36,"Thompson")-4</f>
        <v>3</v>
      </c>
      <c r="D57" s="181">
        <f t="shared" ref="D57:D63" si="0">SUM(B57:C57)</f>
        <v>9</v>
      </c>
      <c r="E57" s="4">
        <v>2</v>
      </c>
      <c r="F57" s="181"/>
      <c r="G57" s="4">
        <f t="shared" ref="G57:G63" si="1">SUM(E57:F57)</f>
        <v>2</v>
      </c>
      <c r="H57" s="4">
        <v>2</v>
      </c>
      <c r="I57" s="181">
        <f>COUNTIF(G4:G35,"Thompson")-1</f>
        <v>-1</v>
      </c>
      <c r="J57" s="4">
        <f t="shared" ref="J57:J63" si="2">SUM(H57:I57)</f>
        <v>1</v>
      </c>
      <c r="K57" s="181">
        <v>2</v>
      </c>
      <c r="L57" s="181"/>
      <c r="M57" s="181">
        <f t="shared" ref="M57:M63" si="3">SUM(K57:L57)</f>
        <v>2</v>
      </c>
      <c r="N57"/>
      <c r="O57"/>
      <c r="P57" s="4"/>
    </row>
    <row r="58" spans="1:16" ht="15">
      <c r="A58" s="371" t="s">
        <v>49</v>
      </c>
      <c r="B58" s="181">
        <v>6</v>
      </c>
      <c r="C58" s="181">
        <f>COUNTIF(C4:F36,"Miller")-2</f>
        <v>3</v>
      </c>
      <c r="D58" s="181">
        <f t="shared" si="0"/>
        <v>9</v>
      </c>
      <c r="E58" s="4">
        <v>1</v>
      </c>
      <c r="F58" s="181">
        <v>0</v>
      </c>
      <c r="G58" s="4">
        <f t="shared" si="1"/>
        <v>1</v>
      </c>
      <c r="H58" s="4">
        <v>3</v>
      </c>
      <c r="I58" s="181">
        <f>COUNTIF(G4:G35,"Miller")-2</f>
        <v>-2</v>
      </c>
      <c r="J58" s="4">
        <f t="shared" si="2"/>
        <v>1</v>
      </c>
      <c r="K58" s="181">
        <v>1</v>
      </c>
      <c r="L58" s="181">
        <v>1</v>
      </c>
      <c r="M58" s="181">
        <f t="shared" si="3"/>
        <v>2</v>
      </c>
      <c r="N58"/>
      <c r="O58"/>
      <c r="P58" s="4"/>
    </row>
    <row r="59" spans="1:16" ht="15">
      <c r="A59" s="371" t="s">
        <v>50</v>
      </c>
      <c r="B59" s="181">
        <v>7</v>
      </c>
      <c r="C59" s="181">
        <f>COUNTIF(C4:F36,"Philbrick")</f>
        <v>1</v>
      </c>
      <c r="D59" s="181">
        <f t="shared" si="0"/>
        <v>8</v>
      </c>
      <c r="E59" s="4">
        <v>2</v>
      </c>
      <c r="F59" s="181">
        <v>1</v>
      </c>
      <c r="G59" s="4">
        <f t="shared" si="1"/>
        <v>3</v>
      </c>
      <c r="H59" s="4">
        <v>1</v>
      </c>
      <c r="I59" s="181">
        <f>COUNTIF(G4:G35,"Philbrick")</f>
        <v>1</v>
      </c>
      <c r="J59" s="4">
        <f t="shared" si="2"/>
        <v>2</v>
      </c>
      <c r="K59" s="181">
        <v>2</v>
      </c>
      <c r="L59" s="181">
        <v>1</v>
      </c>
      <c r="M59" s="379">
        <f t="shared" si="3"/>
        <v>3</v>
      </c>
      <c r="N59"/>
      <c r="O59"/>
      <c r="P59" s="4"/>
    </row>
    <row r="60" spans="1:16" ht="15">
      <c r="A60" s="371" t="s">
        <v>311</v>
      </c>
      <c r="B60" s="181">
        <v>6</v>
      </c>
      <c r="C60" s="4">
        <f>COUNTIF(C4:F36,"Jones")-5</f>
        <v>3</v>
      </c>
      <c r="D60" s="181">
        <f t="shared" si="0"/>
        <v>9</v>
      </c>
      <c r="E60" s="4">
        <v>2</v>
      </c>
      <c r="F60" s="4">
        <v>1</v>
      </c>
      <c r="G60" s="4">
        <f t="shared" si="1"/>
        <v>3</v>
      </c>
      <c r="H60" s="4">
        <v>2</v>
      </c>
      <c r="I60" s="4">
        <f>COUNTIF(G4:G35,"Jones")-1</f>
        <v>1</v>
      </c>
      <c r="J60" s="4">
        <f t="shared" si="2"/>
        <v>3</v>
      </c>
      <c r="K60" s="181">
        <v>1</v>
      </c>
      <c r="L60" s="181">
        <v>1</v>
      </c>
      <c r="M60" s="181">
        <f t="shared" si="3"/>
        <v>2</v>
      </c>
      <c r="N60"/>
      <c r="O60"/>
      <c r="P60" s="4"/>
    </row>
    <row r="61" spans="1:16" ht="15">
      <c r="A61" s="371" t="s">
        <v>312</v>
      </c>
      <c r="B61" s="181">
        <v>5</v>
      </c>
      <c r="C61" s="4">
        <f>COUNTIF(C4:F36,"Moezzi")-1</f>
        <v>3</v>
      </c>
      <c r="D61" s="379">
        <f t="shared" si="0"/>
        <v>8</v>
      </c>
      <c r="E61" s="4">
        <v>2</v>
      </c>
      <c r="F61" s="4">
        <v>0</v>
      </c>
      <c r="G61" s="4">
        <f t="shared" si="1"/>
        <v>2</v>
      </c>
      <c r="H61" s="4">
        <v>1</v>
      </c>
      <c r="I61" s="4">
        <f>COUNTIF(G4:G35,"Moezzi")</f>
        <v>1</v>
      </c>
      <c r="J61" s="4">
        <f t="shared" si="2"/>
        <v>2</v>
      </c>
      <c r="K61" s="181">
        <v>1</v>
      </c>
      <c r="L61" s="181">
        <v>1</v>
      </c>
      <c r="M61" s="181">
        <f t="shared" si="3"/>
        <v>2</v>
      </c>
      <c r="N61"/>
      <c r="O61"/>
      <c r="P61" s="4"/>
    </row>
    <row r="62" spans="1:16" ht="15">
      <c r="A62" s="371" t="s">
        <v>313</v>
      </c>
      <c r="B62" s="181">
        <v>6</v>
      </c>
      <c r="C62" s="4">
        <f>COUNTIF(C4:F36,"Tung")-5</f>
        <v>2</v>
      </c>
      <c r="D62" s="181">
        <f t="shared" si="0"/>
        <v>8</v>
      </c>
      <c r="E62" s="4">
        <v>2</v>
      </c>
      <c r="F62" s="4">
        <v>1</v>
      </c>
      <c r="G62" s="229">
        <f t="shared" si="1"/>
        <v>3</v>
      </c>
      <c r="H62" s="4">
        <v>2</v>
      </c>
      <c r="I62" s="4">
        <f>COUNTIF(G4:G35,"Tung")-1</f>
        <v>0</v>
      </c>
      <c r="J62" s="4">
        <f t="shared" si="2"/>
        <v>2</v>
      </c>
      <c r="K62" s="181">
        <v>2</v>
      </c>
      <c r="L62" s="181"/>
      <c r="M62" s="181">
        <f t="shared" si="3"/>
        <v>2</v>
      </c>
      <c r="N62"/>
      <c r="O62"/>
      <c r="P62" s="4"/>
    </row>
    <row r="63" spans="1:16" ht="15.75" thickBot="1">
      <c r="A63" s="371" t="s">
        <v>314</v>
      </c>
      <c r="B63" s="181">
        <v>6</v>
      </c>
      <c r="C63" s="4">
        <f>COUNTIF(C4:F36,"Wen")</f>
        <v>0</v>
      </c>
      <c r="D63" s="379">
        <f t="shared" si="0"/>
        <v>6</v>
      </c>
      <c r="E63" s="4">
        <v>1</v>
      </c>
      <c r="F63" s="4"/>
      <c r="G63" s="4">
        <f t="shared" si="1"/>
        <v>1</v>
      </c>
      <c r="H63" s="4">
        <v>1</v>
      </c>
      <c r="I63" s="4">
        <f>COUNTIF(G4:G35,"Wen")</f>
        <v>0</v>
      </c>
      <c r="J63" s="229">
        <f t="shared" si="2"/>
        <v>1</v>
      </c>
      <c r="K63" s="181">
        <v>2</v>
      </c>
      <c r="L63" s="181"/>
      <c r="M63" s="181">
        <f t="shared" si="3"/>
        <v>2</v>
      </c>
      <c r="N63"/>
      <c r="O63"/>
      <c r="P63" s="4"/>
    </row>
    <row r="64" spans="1:16" ht="15.75" thickBot="1">
      <c r="A64" s="185"/>
      <c r="B64" s="370">
        <f t="shared" ref="B64:M64" si="4">SUM(B56:B63)</f>
        <v>49</v>
      </c>
      <c r="C64" s="372">
        <f t="shared" si="4"/>
        <v>18</v>
      </c>
      <c r="D64" s="370">
        <f t="shared" si="4"/>
        <v>67</v>
      </c>
      <c r="E64" s="370">
        <f t="shared" si="4"/>
        <v>14</v>
      </c>
      <c r="F64" s="372">
        <f t="shared" si="4"/>
        <v>4</v>
      </c>
      <c r="G64" s="370">
        <f t="shared" si="4"/>
        <v>18</v>
      </c>
      <c r="H64" s="370">
        <f t="shared" si="4"/>
        <v>14</v>
      </c>
      <c r="I64" s="372">
        <f t="shared" si="4"/>
        <v>1</v>
      </c>
      <c r="J64" s="370">
        <f t="shared" si="4"/>
        <v>15</v>
      </c>
      <c r="K64" s="370">
        <f t="shared" si="4"/>
        <v>13</v>
      </c>
      <c r="L64" s="372">
        <f t="shared" si="4"/>
        <v>4</v>
      </c>
      <c r="M64" s="370">
        <f t="shared" si="4"/>
        <v>17</v>
      </c>
      <c r="N64"/>
      <c r="O64" s="4" t="s">
        <v>325</v>
      </c>
      <c r="P64" s="373">
        <f>SUM(C64,F64,I64,L64)</f>
        <v>27</v>
      </c>
    </row>
    <row r="65" spans="1:16" ht="15">
      <c r="A65" s="185"/>
      <c r="B65" s="181"/>
      <c r="C65" s="181"/>
      <c r="D65" s="181"/>
      <c r="E65"/>
      <c r="F65"/>
      <c r="G65"/>
      <c r="H65" s="181"/>
      <c r="I65" s="181"/>
      <c r="J65" s="181"/>
      <c r="K65"/>
      <c r="L65"/>
      <c r="M65"/>
      <c r="N65"/>
      <c r="O65"/>
      <c r="P65"/>
    </row>
    <row r="66" spans="1:16" ht="15">
      <c r="A66" s="185"/>
      <c r="B66" s="374" t="s">
        <v>53</v>
      </c>
      <c r="C66" s="375" t="s">
        <v>324</v>
      </c>
      <c r="D66" s="374" t="s">
        <v>52</v>
      </c>
      <c r="E66"/>
      <c r="F66"/>
      <c r="G66"/>
      <c r="H66" s="374" t="s">
        <v>54</v>
      </c>
      <c r="I66" s="375" t="s">
        <v>324</v>
      </c>
      <c r="J66" s="374" t="s">
        <v>52</v>
      </c>
      <c r="K66"/>
      <c r="L66"/>
      <c r="M66"/>
      <c r="N66"/>
      <c r="O66"/>
      <c r="P66"/>
    </row>
    <row r="67" spans="1:16" ht="15">
      <c r="A67" s="185" t="s">
        <v>44</v>
      </c>
      <c r="B67" s="181">
        <v>16</v>
      </c>
      <c r="C67" s="181">
        <f>COUNTIF(C6:G38,"Dieu")-5</f>
        <v>3</v>
      </c>
      <c r="D67" s="181">
        <f>SUM(B67:C67)</f>
        <v>19</v>
      </c>
      <c r="E67"/>
      <c r="F67"/>
      <c r="G67"/>
      <c r="H67" s="181">
        <v>3</v>
      </c>
      <c r="I67" s="181">
        <v>1</v>
      </c>
      <c r="J67" s="181">
        <f>SUM(H67:I67)</f>
        <v>4</v>
      </c>
      <c r="K67"/>
      <c r="L67"/>
      <c r="M67"/>
      <c r="N67"/>
      <c r="O67"/>
      <c r="P67"/>
    </row>
    <row r="68" spans="1:16" ht="15">
      <c r="A68" s="185" t="s">
        <v>45</v>
      </c>
      <c r="B68" s="181">
        <v>15</v>
      </c>
      <c r="C68" s="181">
        <f>COUNTIF(C6:G38,"Huynh")</f>
        <v>7</v>
      </c>
      <c r="D68" s="181">
        <f>SUM(B68:C68)</f>
        <v>22</v>
      </c>
      <c r="E68"/>
      <c r="F68"/>
      <c r="G68"/>
      <c r="H68" s="181">
        <v>4</v>
      </c>
      <c r="I68" s="181">
        <v>1</v>
      </c>
      <c r="J68" s="181">
        <f t="shared" ref="J68:J70" si="5">SUM(H68:I68)</f>
        <v>5</v>
      </c>
      <c r="K68"/>
      <c r="L68"/>
      <c r="M68"/>
      <c r="N68"/>
      <c r="O68"/>
      <c r="P68"/>
    </row>
    <row r="69" spans="1:16" ht="15">
      <c r="A69" s="185" t="s">
        <v>46</v>
      </c>
      <c r="B69" s="181">
        <v>16</v>
      </c>
      <c r="C69" s="2">
        <f>COUNTIF(C6:G38,"Mathew")</f>
        <v>6</v>
      </c>
      <c r="D69" s="181">
        <f t="shared" ref="D69:D70" si="6">SUM(B69:C69)</f>
        <v>22</v>
      </c>
      <c r="E69"/>
      <c r="F69"/>
      <c r="G69"/>
      <c r="H69" s="181">
        <v>3</v>
      </c>
      <c r="I69" s="181">
        <v>1</v>
      </c>
      <c r="J69" s="181">
        <f t="shared" si="5"/>
        <v>4</v>
      </c>
      <c r="K69"/>
      <c r="L69"/>
      <c r="M69"/>
      <c r="N69"/>
      <c r="O69"/>
      <c r="P69"/>
    </row>
    <row r="70" spans="1:16" ht="15">
      <c r="A70" s="185" t="s">
        <v>47</v>
      </c>
      <c r="B70" s="181">
        <v>16</v>
      </c>
      <c r="C70" s="181">
        <f>COUNTIF(C6:G38,"Noh")-3</f>
        <v>5</v>
      </c>
      <c r="D70" s="181">
        <f t="shared" si="6"/>
        <v>21</v>
      </c>
      <c r="E70"/>
      <c r="F70"/>
      <c r="G70"/>
      <c r="H70" s="4">
        <v>3</v>
      </c>
      <c r="I70" s="4">
        <v>1</v>
      </c>
      <c r="J70" s="181">
        <f t="shared" si="5"/>
        <v>4</v>
      </c>
      <c r="K70"/>
      <c r="L70"/>
      <c r="M70"/>
      <c r="N70"/>
      <c r="O70"/>
      <c r="P70"/>
    </row>
    <row r="73" spans="1:16" ht="15">
      <c r="A73"/>
      <c r="B73" s="4" t="s">
        <v>60</v>
      </c>
      <c r="C73" s="4" t="s">
        <v>61</v>
      </c>
      <c r="D73"/>
      <c r="E73"/>
      <c r="F73" s="370" t="s">
        <v>63</v>
      </c>
      <c r="G73" s="370" t="s">
        <v>324</v>
      </c>
      <c r="H73" s="4" t="s">
        <v>52</v>
      </c>
    </row>
    <row r="74" spans="1:16" ht="15">
      <c r="A74" s="181" t="s">
        <v>73</v>
      </c>
      <c r="B74"/>
      <c r="C74"/>
      <c r="D74"/>
      <c r="E74" s="181" t="s">
        <v>73</v>
      </c>
      <c r="F74" s="4">
        <v>1</v>
      </c>
      <c r="G74" s="4">
        <v>1</v>
      </c>
      <c r="H74">
        <f>SUM(F74:G74)</f>
        <v>2</v>
      </c>
    </row>
    <row r="75" spans="1:16" ht="15">
      <c r="A75" s="181" t="s">
        <v>48</v>
      </c>
      <c r="B75"/>
      <c r="C75"/>
      <c r="D75"/>
      <c r="E75" s="181" t="s">
        <v>48</v>
      </c>
      <c r="F75" s="4">
        <v>1</v>
      </c>
      <c r="G75" s="4"/>
      <c r="H75">
        <f t="shared" ref="H75:H81" si="7">SUM(F75:G75)</f>
        <v>1</v>
      </c>
    </row>
    <row r="76" spans="1:16" ht="15">
      <c r="A76" s="181" t="s">
        <v>49</v>
      </c>
      <c r="B76">
        <v>1</v>
      </c>
      <c r="C76"/>
      <c r="D76"/>
      <c r="E76" s="181" t="s">
        <v>49</v>
      </c>
      <c r="F76" s="4">
        <v>1</v>
      </c>
      <c r="G76" s="4"/>
      <c r="H76">
        <f t="shared" si="7"/>
        <v>1</v>
      </c>
    </row>
    <row r="77" spans="1:16" ht="15">
      <c r="A77" s="181" t="s">
        <v>50</v>
      </c>
      <c r="B77"/>
      <c r="C77"/>
      <c r="D77"/>
      <c r="E77" s="181" t="s">
        <v>50</v>
      </c>
      <c r="F77" s="4">
        <v>1</v>
      </c>
      <c r="G77" s="4"/>
      <c r="H77">
        <f t="shared" si="7"/>
        <v>1</v>
      </c>
    </row>
    <row r="78" spans="1:16" ht="15">
      <c r="A78" s="181" t="s">
        <v>311</v>
      </c>
      <c r="B78"/>
      <c r="C78"/>
      <c r="D78"/>
      <c r="E78" s="181" t="s">
        <v>311</v>
      </c>
      <c r="F78" s="4">
        <v>1</v>
      </c>
      <c r="G78" s="4">
        <v>1</v>
      </c>
      <c r="H78">
        <f t="shared" si="7"/>
        <v>2</v>
      </c>
    </row>
    <row r="79" spans="1:16" ht="15">
      <c r="A79" s="181" t="s">
        <v>312</v>
      </c>
      <c r="B79"/>
      <c r="C79"/>
      <c r="D79"/>
      <c r="E79" s="181" t="s">
        <v>312</v>
      </c>
      <c r="F79" s="4">
        <v>1</v>
      </c>
      <c r="G79" s="4">
        <v>1</v>
      </c>
      <c r="H79">
        <f t="shared" si="7"/>
        <v>2</v>
      </c>
    </row>
    <row r="80" spans="1:16" ht="15">
      <c r="A80" s="181" t="s">
        <v>313</v>
      </c>
      <c r="B80"/>
      <c r="C80"/>
      <c r="D80"/>
      <c r="E80" s="181" t="s">
        <v>313</v>
      </c>
      <c r="F80" s="4">
        <v>1</v>
      </c>
      <c r="G80" s="4">
        <v>1</v>
      </c>
      <c r="H80">
        <f t="shared" si="7"/>
        <v>2</v>
      </c>
    </row>
    <row r="81" spans="1:8" ht="15">
      <c r="A81" s="181" t="s">
        <v>314</v>
      </c>
      <c r="B81" s="4"/>
      <c r="C81"/>
      <c r="D81"/>
      <c r="E81" s="181" t="s">
        <v>314</v>
      </c>
      <c r="F81" s="4">
        <v>1</v>
      </c>
      <c r="G81" s="4"/>
      <c r="H81">
        <f t="shared" si="7"/>
        <v>1</v>
      </c>
    </row>
    <row r="82" spans="1:8" ht="15">
      <c r="A82" s="181" t="s">
        <v>44</v>
      </c>
      <c r="B82"/>
      <c r="C82" s="4"/>
      <c r="D82"/>
      <c r="E82"/>
      <c r="F82"/>
      <c r="G82"/>
    </row>
    <row r="83" spans="1:8" ht="15">
      <c r="A83" s="181" t="s">
        <v>45</v>
      </c>
      <c r="B83" s="4"/>
      <c r="C83"/>
      <c r="D83"/>
      <c r="E83"/>
      <c r="F83"/>
      <c r="G83"/>
    </row>
    <row r="84" spans="1:8" ht="15">
      <c r="A84" s="181" t="s">
        <v>46</v>
      </c>
      <c r="B84">
        <v>1</v>
      </c>
      <c r="C84"/>
      <c r="D84"/>
      <c r="E84"/>
      <c r="F84"/>
      <c r="G84"/>
    </row>
    <row r="85" spans="1:8" ht="15">
      <c r="A85" s="181" t="s">
        <v>47</v>
      </c>
      <c r="B85"/>
      <c r="C85"/>
      <c r="D85"/>
      <c r="E85"/>
      <c r="F85"/>
      <c r="G85"/>
    </row>
  </sheetData>
  <mergeCells count="1">
    <mergeCell ref="B1:H1"/>
  </mergeCells>
  <pageMargins left="0.3" right="0.25" top="0.6" bottom="0.25" header="0.3" footer="0.3"/>
  <pageSetup scale="79" orientation="landscape" r:id="rId1"/>
  <headerFooter>
    <oddHeader>&amp;C&amp;"Times New Roman,Bold"Ophthalmology Resident Call/Rounds Presentation/Vacation Schedule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00"/>
  <sheetViews>
    <sheetView tabSelected="1" zoomScale="76" zoomScaleNormal="76" zoomScalePageLayoutView="150" workbookViewId="0"/>
  </sheetViews>
  <sheetFormatPr defaultColWidth="8.7109375" defaultRowHeight="12"/>
  <cols>
    <col min="1" max="8" width="18.7109375" style="2" customWidth="1"/>
    <col min="9" max="10" width="8.7109375" style="2"/>
    <col min="11" max="11" width="23.28515625" style="2" customWidth="1"/>
    <col min="12" max="15" width="8.7109375" style="2"/>
    <col min="16" max="16" width="11.42578125" style="2" customWidth="1"/>
    <col min="17" max="16384" width="8.7109375" style="2"/>
  </cols>
  <sheetData>
    <row r="1" spans="1:17" ht="16.5" thickBot="1">
      <c r="B1" s="405" t="s">
        <v>82</v>
      </c>
      <c r="C1" s="406"/>
      <c r="D1" s="406"/>
      <c r="E1" s="406"/>
      <c r="F1" s="406"/>
      <c r="G1" s="406"/>
      <c r="H1" s="406"/>
    </row>
    <row r="2" spans="1:17" ht="12.75" thickBot="1">
      <c r="A2" s="43"/>
      <c r="B2" s="44" t="s">
        <v>0</v>
      </c>
      <c r="C2" s="44" t="s">
        <v>1</v>
      </c>
      <c r="D2" s="44" t="s">
        <v>2</v>
      </c>
      <c r="E2" s="44" t="s">
        <v>3</v>
      </c>
      <c r="F2" s="44" t="s">
        <v>4</v>
      </c>
      <c r="G2" s="44" t="s">
        <v>16</v>
      </c>
      <c r="H2" s="44" t="s">
        <v>6</v>
      </c>
    </row>
    <row r="3" spans="1:17" ht="13.35" customHeight="1">
      <c r="A3" s="45"/>
      <c r="B3" s="46"/>
      <c r="C3" s="32"/>
      <c r="D3" s="32"/>
      <c r="E3" s="32"/>
      <c r="F3" s="47"/>
      <c r="G3" s="24">
        <v>1</v>
      </c>
      <c r="H3" s="24">
        <v>2</v>
      </c>
    </row>
    <row r="4" spans="1:17" s="51" customFormat="1" ht="13.35" customHeight="1">
      <c r="A4" s="48" t="s">
        <v>7</v>
      </c>
      <c r="B4" s="12"/>
      <c r="F4" s="49"/>
      <c r="G4" s="50" t="s">
        <v>137</v>
      </c>
      <c r="H4" s="50" t="s">
        <v>372</v>
      </c>
      <c r="O4"/>
      <c r="P4" s="4" t="s">
        <v>67</v>
      </c>
      <c r="Q4" s="4" t="s">
        <v>68</v>
      </c>
    </row>
    <row r="5" spans="1:17" ht="13.35" customHeight="1">
      <c r="A5" s="53" t="s">
        <v>8</v>
      </c>
      <c r="B5" s="12"/>
      <c r="C5" s="51"/>
      <c r="D5" s="51"/>
      <c r="E5" s="51"/>
      <c r="F5" s="49"/>
      <c r="G5" s="56"/>
      <c r="H5" s="56"/>
      <c r="O5" s="181" t="s">
        <v>44</v>
      </c>
      <c r="P5" s="222" t="s">
        <v>170</v>
      </c>
      <c r="Q5" s="222" t="s">
        <v>70</v>
      </c>
    </row>
    <row r="6" spans="1:17" ht="13.35" customHeight="1">
      <c r="A6" s="54" t="s">
        <v>9</v>
      </c>
      <c r="B6" s="12"/>
      <c r="C6" s="51"/>
      <c r="D6" s="51"/>
      <c r="E6" s="51"/>
      <c r="F6" s="49"/>
      <c r="G6" s="55" t="s">
        <v>146</v>
      </c>
      <c r="H6" s="55" t="s">
        <v>26</v>
      </c>
      <c r="O6" s="181" t="s">
        <v>46</v>
      </c>
      <c r="P6" s="4" t="s">
        <v>65</v>
      </c>
      <c r="Q6" s="4" t="s">
        <v>302</v>
      </c>
    </row>
    <row r="7" spans="1:17" ht="13.35" customHeight="1">
      <c r="A7" s="54" t="s">
        <v>10</v>
      </c>
      <c r="B7" s="12"/>
      <c r="C7" s="51"/>
      <c r="D7" s="51"/>
      <c r="E7" s="51"/>
      <c r="F7" s="49"/>
      <c r="G7" s="56"/>
      <c r="H7" s="56"/>
      <c r="O7" s="181" t="s">
        <v>47</v>
      </c>
      <c r="P7" s="4" t="s">
        <v>66</v>
      </c>
      <c r="Q7" s="4" t="s">
        <v>69</v>
      </c>
    </row>
    <row r="8" spans="1:17" ht="13.35" customHeight="1">
      <c r="A8" s="45" t="s">
        <v>11</v>
      </c>
      <c r="B8" s="12"/>
      <c r="C8" s="51"/>
      <c r="D8" s="51"/>
      <c r="E8" s="51"/>
      <c r="F8" s="49"/>
      <c r="G8" s="59"/>
      <c r="H8" s="58"/>
      <c r="N8" s="2" t="s">
        <v>316</v>
      </c>
      <c r="O8" s="181" t="s">
        <v>35</v>
      </c>
      <c r="P8" s="2" t="s">
        <v>317</v>
      </c>
      <c r="Q8" s="2" t="s">
        <v>167</v>
      </c>
    </row>
    <row r="9" spans="1:17" ht="13.35" customHeight="1" thickBot="1">
      <c r="A9" s="45"/>
      <c r="B9" s="12"/>
      <c r="C9" s="51"/>
      <c r="D9" s="51"/>
      <c r="E9" s="51"/>
      <c r="F9" s="49"/>
      <c r="G9" s="59"/>
      <c r="H9" s="302"/>
      <c r="N9" s="2" t="s">
        <v>316</v>
      </c>
      <c r="O9" s="181" t="s">
        <v>36</v>
      </c>
      <c r="P9" s="2" t="s">
        <v>156</v>
      </c>
      <c r="Q9" s="2" t="s">
        <v>171</v>
      </c>
    </row>
    <row r="10" spans="1:17" ht="13.35" customHeight="1" thickBot="1">
      <c r="A10" s="303"/>
      <c r="B10" s="390"/>
      <c r="C10" s="388"/>
      <c r="D10" s="388"/>
      <c r="E10" s="388"/>
      <c r="F10" s="389"/>
      <c r="G10" s="304"/>
      <c r="H10" s="302"/>
      <c r="O10" s="181" t="s">
        <v>34</v>
      </c>
      <c r="P10" s="2" t="s">
        <v>165</v>
      </c>
    </row>
    <row r="11" spans="1:17" ht="13.35" customHeight="1">
      <c r="A11" s="45"/>
      <c r="B11" s="24" t="s">
        <v>119</v>
      </c>
      <c r="C11" s="24" t="s">
        <v>120</v>
      </c>
      <c r="D11" s="24" t="s">
        <v>121</v>
      </c>
      <c r="E11" s="24" t="s">
        <v>122</v>
      </c>
      <c r="F11" s="24" t="s">
        <v>123</v>
      </c>
      <c r="G11" s="24">
        <v>8</v>
      </c>
      <c r="H11" s="24">
        <v>9</v>
      </c>
      <c r="K11" s="2" t="s">
        <v>326</v>
      </c>
      <c r="N11" s="2" t="s">
        <v>316</v>
      </c>
      <c r="O11" s="181" t="s">
        <v>72</v>
      </c>
      <c r="P11" s="2" t="s">
        <v>303</v>
      </c>
    </row>
    <row r="12" spans="1:17" s="39" customFormat="1" ht="13.35" customHeight="1">
      <c r="A12" s="48" t="s">
        <v>7</v>
      </c>
      <c r="B12" s="50" t="s">
        <v>135</v>
      </c>
      <c r="C12" s="50" t="s">
        <v>136</v>
      </c>
      <c r="D12" s="50" t="s">
        <v>135</v>
      </c>
      <c r="E12" s="50" t="s">
        <v>136</v>
      </c>
      <c r="F12" s="50" t="s">
        <v>134</v>
      </c>
      <c r="G12" s="50" t="s">
        <v>36</v>
      </c>
      <c r="H12" s="50" t="s">
        <v>35</v>
      </c>
      <c r="K12" s="391" t="s">
        <v>327</v>
      </c>
      <c r="N12" s="39" t="s">
        <v>316</v>
      </c>
      <c r="O12" s="181" t="s">
        <v>137</v>
      </c>
      <c r="P12" s="2" t="s">
        <v>173</v>
      </c>
      <c r="Q12" s="2"/>
    </row>
    <row r="13" spans="1:17" ht="13.35" customHeight="1">
      <c r="A13" s="53" t="s">
        <v>8</v>
      </c>
      <c r="B13" s="55" t="s">
        <v>136</v>
      </c>
      <c r="C13" s="56"/>
      <c r="D13" s="56"/>
      <c r="E13" s="56"/>
      <c r="F13" s="56"/>
      <c r="G13" s="56"/>
      <c r="H13" s="56"/>
      <c r="K13" s="391" t="s">
        <v>328</v>
      </c>
      <c r="N13" s="2" t="s">
        <v>316</v>
      </c>
      <c r="O13" s="181" t="s">
        <v>306</v>
      </c>
      <c r="P13" s="2" t="s">
        <v>168</v>
      </c>
    </row>
    <row r="14" spans="1:17" ht="13.35" customHeight="1">
      <c r="A14" s="54" t="s">
        <v>9</v>
      </c>
      <c r="B14" s="55" t="s">
        <v>26</v>
      </c>
      <c r="C14" s="62" t="s">
        <v>26</v>
      </c>
      <c r="D14" s="62" t="s">
        <v>25</v>
      </c>
      <c r="E14" s="62" t="s">
        <v>24</v>
      </c>
      <c r="F14" s="62" t="s">
        <v>146</v>
      </c>
      <c r="G14" s="55" t="s">
        <v>25</v>
      </c>
      <c r="H14" s="55" t="s">
        <v>146</v>
      </c>
      <c r="K14" s="391" t="s">
        <v>329</v>
      </c>
      <c r="O14" s="181" t="s">
        <v>307</v>
      </c>
      <c r="P14" s="2" t="s">
        <v>154</v>
      </c>
      <c r="Q14" s="2" t="s">
        <v>302</v>
      </c>
    </row>
    <row r="15" spans="1:17" ht="13.35" customHeight="1">
      <c r="A15" s="54" t="s">
        <v>10</v>
      </c>
      <c r="B15" s="56"/>
      <c r="C15" s="56"/>
      <c r="D15" s="56"/>
      <c r="E15" s="18" t="s">
        <v>62</v>
      </c>
      <c r="F15" s="56"/>
      <c r="G15" s="56"/>
      <c r="H15" s="56"/>
      <c r="K15" s="391" t="s">
        <v>330</v>
      </c>
      <c r="N15" s="2" t="s">
        <v>316</v>
      </c>
      <c r="O15" s="181" t="s">
        <v>136</v>
      </c>
      <c r="P15" s="2" t="s">
        <v>331</v>
      </c>
      <c r="Q15" s="2" t="s">
        <v>167</v>
      </c>
    </row>
    <row r="16" spans="1:17" ht="13.35" customHeight="1">
      <c r="A16" s="63" t="s">
        <v>11</v>
      </c>
      <c r="B16" s="64"/>
      <c r="C16" s="170" t="s">
        <v>358</v>
      </c>
      <c r="D16" s="170" t="s">
        <v>358</v>
      </c>
      <c r="E16" s="59" t="s">
        <v>361</v>
      </c>
      <c r="F16" s="59" t="s">
        <v>361</v>
      </c>
      <c r="G16" s="59" t="s">
        <v>362</v>
      </c>
      <c r="H16" s="65"/>
      <c r="K16" s="391" t="s">
        <v>332</v>
      </c>
    </row>
    <row r="17" spans="1:14" ht="13.35" customHeight="1">
      <c r="A17" s="45"/>
      <c r="B17" s="58"/>
      <c r="C17" s="59" t="s">
        <v>359</v>
      </c>
      <c r="D17" s="59" t="s">
        <v>361</v>
      </c>
      <c r="E17" s="59" t="s">
        <v>366</v>
      </c>
      <c r="F17" s="59" t="s">
        <v>362</v>
      </c>
      <c r="G17" s="59" t="s">
        <v>363</v>
      </c>
      <c r="H17" s="289"/>
      <c r="K17" s="391"/>
    </row>
    <row r="18" spans="1:14" ht="13.35" customHeight="1">
      <c r="A18" s="45"/>
      <c r="B18" s="58"/>
      <c r="C18" s="59" t="s">
        <v>366</v>
      </c>
      <c r="D18" s="59" t="s">
        <v>359</v>
      </c>
      <c r="E18" s="59" t="s">
        <v>362</v>
      </c>
      <c r="F18" s="59" t="s">
        <v>363</v>
      </c>
      <c r="G18" s="59"/>
      <c r="H18" s="289"/>
      <c r="K18" s="391"/>
    </row>
    <row r="19" spans="1:14" ht="13.35" customHeight="1">
      <c r="A19" s="45"/>
      <c r="B19" s="58"/>
      <c r="C19" s="198" t="s">
        <v>360</v>
      </c>
      <c r="D19" s="198" t="s">
        <v>366</v>
      </c>
      <c r="E19" s="59" t="s">
        <v>258</v>
      </c>
      <c r="F19" s="59"/>
      <c r="G19" s="59"/>
      <c r="H19" s="289"/>
      <c r="K19" s="391"/>
    </row>
    <row r="20" spans="1:14" ht="13.35" customHeight="1" thickBot="1">
      <c r="A20" s="283"/>
      <c r="B20" s="401"/>
      <c r="C20" s="402"/>
      <c r="D20" s="402"/>
      <c r="E20" s="400" t="s">
        <v>363</v>
      </c>
      <c r="F20" s="400"/>
      <c r="G20" s="400"/>
      <c r="H20" s="392"/>
      <c r="K20" s="391"/>
    </row>
    <row r="21" spans="1:14" ht="13.35" customHeight="1">
      <c r="A21" s="45"/>
      <c r="B21" s="24">
        <v>10</v>
      </c>
      <c r="C21" s="24">
        <v>11</v>
      </c>
      <c r="D21" s="24">
        <v>12</v>
      </c>
      <c r="E21" s="24">
        <v>13</v>
      </c>
      <c r="F21" s="24">
        <v>14</v>
      </c>
      <c r="G21" s="24">
        <v>15</v>
      </c>
      <c r="H21" s="66">
        <v>16</v>
      </c>
      <c r="J21" s="346" t="s">
        <v>285</v>
      </c>
      <c r="K21" s="40"/>
      <c r="L21" s="40"/>
      <c r="M21" s="40"/>
      <c r="N21" s="40"/>
    </row>
    <row r="22" spans="1:14" s="39" customFormat="1" ht="12.75" customHeight="1">
      <c r="A22" s="48" t="s">
        <v>7</v>
      </c>
      <c r="B22" s="50" t="s">
        <v>367</v>
      </c>
      <c r="C22" s="51" t="s">
        <v>34</v>
      </c>
      <c r="D22" s="50" t="s">
        <v>368</v>
      </c>
      <c r="E22" s="50" t="s">
        <v>135</v>
      </c>
      <c r="F22" s="50" t="s">
        <v>35</v>
      </c>
      <c r="G22" s="50" t="s">
        <v>136</v>
      </c>
      <c r="H22" s="50" t="s">
        <v>134</v>
      </c>
      <c r="J22" s="4" t="s">
        <v>280</v>
      </c>
    </row>
    <row r="23" spans="1:14" ht="13.35" customHeight="1">
      <c r="A23" s="53" t="s">
        <v>8</v>
      </c>
      <c r="B23" s="195" t="s">
        <v>24</v>
      </c>
      <c r="C23" s="56"/>
      <c r="D23" s="56"/>
      <c r="E23" s="56"/>
      <c r="F23" s="56"/>
      <c r="G23" s="56"/>
      <c r="H23" s="56"/>
      <c r="J23" s="4" t="s">
        <v>281</v>
      </c>
    </row>
    <row r="24" spans="1:14" ht="13.35" customHeight="1">
      <c r="A24" s="54" t="s">
        <v>9</v>
      </c>
      <c r="B24" s="55" t="s">
        <v>146</v>
      </c>
      <c r="C24" s="50" t="s">
        <v>26</v>
      </c>
      <c r="D24" s="50" t="s">
        <v>146</v>
      </c>
      <c r="E24" s="50" t="s">
        <v>24</v>
      </c>
      <c r="F24" s="50" t="s">
        <v>25</v>
      </c>
      <c r="G24" s="50" t="s">
        <v>72</v>
      </c>
      <c r="H24" s="50" t="s">
        <v>72</v>
      </c>
      <c r="J24" s="4"/>
    </row>
    <row r="25" spans="1:14" ht="13.35" customHeight="1">
      <c r="A25" s="54" t="s">
        <v>10</v>
      </c>
      <c r="B25" s="56"/>
      <c r="C25" s="56"/>
      <c r="D25" s="56"/>
      <c r="E25" s="67" t="s">
        <v>35</v>
      </c>
      <c r="F25" s="56"/>
      <c r="G25" s="56"/>
      <c r="H25" s="56"/>
    </row>
    <row r="26" spans="1:14" ht="13.35" customHeight="1" thickBot="1">
      <c r="A26" s="63" t="s">
        <v>11</v>
      </c>
      <c r="B26" s="68"/>
      <c r="C26" s="154"/>
      <c r="D26" s="69"/>
      <c r="E26" s="69"/>
      <c r="F26" s="69" t="s">
        <v>376</v>
      </c>
      <c r="G26" s="69" t="s">
        <v>232</v>
      </c>
      <c r="H26" s="70"/>
    </row>
    <row r="27" spans="1:14" ht="13.35" customHeight="1" thickBot="1">
      <c r="A27" s="45"/>
      <c r="B27" s="403"/>
      <c r="C27" s="404"/>
      <c r="D27" s="72"/>
      <c r="E27" s="72"/>
      <c r="F27" s="72"/>
      <c r="G27" s="72" t="s">
        <v>247</v>
      </c>
      <c r="H27" s="395"/>
    </row>
    <row r="28" spans="1:14" ht="13.35" customHeight="1" thickBot="1">
      <c r="A28" s="45"/>
      <c r="B28" s="71"/>
      <c r="C28" s="72"/>
      <c r="D28" s="72"/>
      <c r="E28" s="72"/>
      <c r="F28" s="72"/>
      <c r="G28" s="2" t="s">
        <v>222</v>
      </c>
      <c r="H28" s="73"/>
    </row>
    <row r="29" spans="1:14" s="39" customFormat="1" ht="13.35" customHeight="1" thickBot="1">
      <c r="A29" s="303"/>
      <c r="B29" s="306"/>
      <c r="C29" s="307"/>
      <c r="D29" s="307"/>
      <c r="E29" s="307"/>
      <c r="F29" s="307"/>
      <c r="G29" s="307" t="s">
        <v>205</v>
      </c>
      <c r="H29" s="73"/>
      <c r="J29" s="359"/>
    </row>
    <row r="30" spans="1:14" s="39" customFormat="1" ht="13.35" customHeight="1">
      <c r="A30" s="45"/>
      <c r="B30" s="24">
        <v>17</v>
      </c>
      <c r="C30" s="24">
        <v>18</v>
      </c>
      <c r="D30" s="24">
        <v>19</v>
      </c>
      <c r="E30" s="24">
        <v>20</v>
      </c>
      <c r="F30" s="24">
        <v>21</v>
      </c>
      <c r="G30" s="24">
        <v>22</v>
      </c>
      <c r="H30" s="66">
        <v>23</v>
      </c>
    </row>
    <row r="31" spans="1:14" s="39" customFormat="1" ht="13.35" customHeight="1">
      <c r="A31" s="48" t="s">
        <v>7</v>
      </c>
      <c r="B31" s="50" t="s">
        <v>134</v>
      </c>
      <c r="C31" s="51" t="s">
        <v>134</v>
      </c>
      <c r="D31" s="50" t="s">
        <v>135</v>
      </c>
      <c r="E31" s="39" t="s">
        <v>72</v>
      </c>
      <c r="F31" s="195" t="s">
        <v>136</v>
      </c>
      <c r="G31" s="195" t="s">
        <v>34</v>
      </c>
      <c r="H31" s="50" t="s">
        <v>135</v>
      </c>
    </row>
    <row r="32" spans="1:14" ht="13.35" customHeight="1">
      <c r="A32" s="53" t="s">
        <v>8</v>
      </c>
      <c r="B32" s="67" t="s">
        <v>136</v>
      </c>
      <c r="C32" s="56"/>
      <c r="D32" s="56"/>
      <c r="E32" s="56"/>
      <c r="F32" s="56"/>
      <c r="G32" s="56"/>
      <c r="H32" s="56"/>
    </row>
    <row r="33" spans="1:15" ht="13.35" customHeight="1">
      <c r="A33" s="54" t="s">
        <v>9</v>
      </c>
      <c r="B33" s="50" t="s">
        <v>72</v>
      </c>
      <c r="C33" s="50" t="s">
        <v>25</v>
      </c>
      <c r="D33" s="50" t="s">
        <v>24</v>
      </c>
      <c r="E33" s="50" t="s">
        <v>25</v>
      </c>
      <c r="F33" s="50" t="s">
        <v>146</v>
      </c>
      <c r="G33" s="50" t="s">
        <v>25</v>
      </c>
      <c r="H33" s="50" t="s">
        <v>25</v>
      </c>
    </row>
    <row r="34" spans="1:15" ht="13.35" customHeight="1">
      <c r="A34" s="54" t="s">
        <v>10</v>
      </c>
      <c r="B34" s="56"/>
      <c r="C34" s="56"/>
      <c r="D34" s="56"/>
      <c r="E34" s="67" t="s">
        <v>136</v>
      </c>
      <c r="F34" s="74"/>
      <c r="G34" s="56"/>
      <c r="H34" s="56"/>
    </row>
    <row r="35" spans="1:15" ht="13.35" customHeight="1" thickBot="1">
      <c r="A35" s="155" t="s">
        <v>11</v>
      </c>
      <c r="B35" s="58"/>
      <c r="C35" s="366" t="s">
        <v>26</v>
      </c>
      <c r="D35" s="366" t="s">
        <v>26</v>
      </c>
      <c r="E35" s="366" t="s">
        <v>26</v>
      </c>
      <c r="F35" s="366" t="s">
        <v>26</v>
      </c>
      <c r="G35" s="367" t="s">
        <v>26</v>
      </c>
      <c r="H35" s="289"/>
    </row>
    <row r="36" spans="1:15" ht="13.35" customHeight="1" thickBot="1">
      <c r="A36" s="155"/>
      <c r="B36" s="156"/>
      <c r="C36" s="361" t="s">
        <v>35</v>
      </c>
      <c r="D36" s="14" t="s">
        <v>35</v>
      </c>
      <c r="E36" s="14" t="s">
        <v>35</v>
      </c>
      <c r="F36" s="14" t="s">
        <v>35</v>
      </c>
      <c r="G36" s="14" t="s">
        <v>286</v>
      </c>
      <c r="H36" s="157"/>
    </row>
    <row r="37" spans="1:15" ht="13.35" customHeight="1" thickBot="1">
      <c r="A37" s="155"/>
      <c r="B37" s="156"/>
      <c r="C37" s="14" t="s">
        <v>36</v>
      </c>
      <c r="D37" s="361" t="s">
        <v>36</v>
      </c>
      <c r="E37" s="14" t="s">
        <v>36</v>
      </c>
      <c r="F37" s="14" t="s">
        <v>36</v>
      </c>
      <c r="G37" s="14" t="s">
        <v>36</v>
      </c>
      <c r="H37" s="157"/>
    </row>
    <row r="38" spans="1:15" ht="13.35" customHeight="1" thickBot="1">
      <c r="A38" s="393"/>
      <c r="B38" s="385"/>
      <c r="C38" s="368" t="s">
        <v>205</v>
      </c>
      <c r="D38" s="368" t="s">
        <v>205</v>
      </c>
      <c r="E38" s="368" t="s">
        <v>205</v>
      </c>
      <c r="F38" s="368" t="s">
        <v>205</v>
      </c>
      <c r="G38" s="368" t="s">
        <v>205</v>
      </c>
      <c r="H38" s="158"/>
    </row>
    <row r="39" spans="1:15" ht="13.35" customHeight="1">
      <c r="A39" s="45"/>
      <c r="B39" s="24">
        <v>24</v>
      </c>
      <c r="C39" s="24" t="s">
        <v>124</v>
      </c>
      <c r="D39" s="24">
        <v>26</v>
      </c>
      <c r="E39" s="24">
        <v>27</v>
      </c>
      <c r="F39" s="24">
        <v>28</v>
      </c>
      <c r="G39" s="24">
        <v>29</v>
      </c>
      <c r="H39" s="66">
        <v>30</v>
      </c>
    </row>
    <row r="40" spans="1:15" ht="13.35" customHeight="1">
      <c r="A40" s="48" t="s">
        <v>7</v>
      </c>
      <c r="B40" s="50" t="s">
        <v>135</v>
      </c>
      <c r="C40" s="4" t="s">
        <v>34</v>
      </c>
      <c r="D40" s="159" t="s">
        <v>36</v>
      </c>
      <c r="E40" s="159" t="s">
        <v>367</v>
      </c>
      <c r="F40" s="50" t="s">
        <v>135</v>
      </c>
      <c r="G40" s="50" t="s">
        <v>35</v>
      </c>
      <c r="H40" s="195" t="s">
        <v>36</v>
      </c>
    </row>
    <row r="41" spans="1:15" ht="13.35" customHeight="1">
      <c r="A41" s="53" t="s">
        <v>8</v>
      </c>
      <c r="B41" s="204" t="s">
        <v>34</v>
      </c>
      <c r="C41" s="56"/>
      <c r="D41" s="56"/>
      <c r="E41" s="56"/>
      <c r="F41" s="56"/>
      <c r="G41" s="56"/>
      <c r="H41" s="56"/>
    </row>
    <row r="42" spans="1:15" ht="13.35" customHeight="1">
      <c r="A42" s="54" t="s">
        <v>9</v>
      </c>
      <c r="B42" s="204" t="s">
        <v>333</v>
      </c>
      <c r="C42" s="13" t="s">
        <v>24</v>
      </c>
      <c r="D42" s="2" t="s">
        <v>26</v>
      </c>
      <c r="E42" s="55" t="s">
        <v>24</v>
      </c>
      <c r="F42" s="72" t="s">
        <v>26</v>
      </c>
      <c r="G42" s="50" t="s">
        <v>146</v>
      </c>
      <c r="H42" s="50" t="s">
        <v>146</v>
      </c>
      <c r="J42" s="394"/>
    </row>
    <row r="43" spans="1:15" ht="13.35" customHeight="1">
      <c r="A43" s="54" t="s">
        <v>10</v>
      </c>
      <c r="B43" s="56"/>
      <c r="C43" s="56"/>
      <c r="D43" s="56"/>
      <c r="E43" s="160" t="s">
        <v>205</v>
      </c>
      <c r="F43" s="74"/>
      <c r="G43" s="56"/>
      <c r="H43" s="56"/>
    </row>
    <row r="44" spans="1:15" s="39" customFormat="1" ht="13.35" customHeight="1" thickBot="1">
      <c r="A44" s="45" t="s">
        <v>11</v>
      </c>
      <c r="B44" s="58"/>
      <c r="C44" s="151"/>
      <c r="D44" s="88" t="s">
        <v>72</v>
      </c>
      <c r="E44" s="365" t="s">
        <v>72</v>
      </c>
      <c r="F44" s="88" t="s">
        <v>72</v>
      </c>
      <c r="G44" s="88" t="s">
        <v>279</v>
      </c>
      <c r="H44" s="395"/>
    </row>
    <row r="45" spans="1:15" s="39" customFormat="1" ht="13.35" customHeight="1" thickBot="1">
      <c r="A45" s="45"/>
      <c r="B45" s="58"/>
      <c r="C45" s="151"/>
      <c r="D45" s="88" t="s">
        <v>134</v>
      </c>
      <c r="E45" s="88" t="s">
        <v>134</v>
      </c>
      <c r="F45" s="88" t="s">
        <v>134</v>
      </c>
      <c r="G45" s="88" t="s">
        <v>134</v>
      </c>
      <c r="H45" s="157"/>
    </row>
    <row r="46" spans="1:15" s="39" customFormat="1" ht="13.35" customHeight="1" thickBot="1">
      <c r="A46" s="45"/>
      <c r="B46" s="302"/>
      <c r="C46" s="305"/>
      <c r="D46" s="300" t="s">
        <v>136</v>
      </c>
      <c r="E46" s="300" t="s">
        <v>136</v>
      </c>
      <c r="F46" s="300" t="s">
        <v>136</v>
      </c>
      <c r="G46" s="364" t="s">
        <v>136</v>
      </c>
      <c r="H46" s="158"/>
      <c r="J46" s="2"/>
      <c r="K46" s="2"/>
      <c r="L46" s="2"/>
      <c r="M46" s="2"/>
      <c r="N46" s="2"/>
      <c r="O46" s="2"/>
    </row>
    <row r="47" spans="1:15" s="39" customFormat="1" ht="13.35" customHeight="1">
      <c r="A47" s="45"/>
      <c r="B47" s="24">
        <v>31</v>
      </c>
      <c r="C47" s="46"/>
      <c r="D47" s="32"/>
      <c r="E47" s="32"/>
      <c r="F47" s="32"/>
      <c r="G47" s="32"/>
      <c r="H47" s="47"/>
    </row>
    <row r="48" spans="1:15" s="39" customFormat="1" ht="13.35" customHeight="1">
      <c r="A48" s="48" t="s">
        <v>7</v>
      </c>
      <c r="B48" s="50" t="s">
        <v>36</v>
      </c>
      <c r="C48" s="12"/>
      <c r="D48" s="51"/>
      <c r="F48" s="193"/>
      <c r="G48" s="193"/>
      <c r="H48" s="49"/>
    </row>
    <row r="49" spans="1:15" ht="13.35" customHeight="1">
      <c r="A49" s="53" t="s">
        <v>8</v>
      </c>
      <c r="B49" s="50" t="s">
        <v>367</v>
      </c>
      <c r="C49" s="12"/>
      <c r="D49" s="51"/>
      <c r="E49" s="51"/>
      <c r="F49" s="51"/>
      <c r="G49" s="51"/>
      <c r="H49" s="49"/>
      <c r="J49" s="39"/>
      <c r="K49" s="39"/>
      <c r="L49" s="39"/>
      <c r="M49" s="39"/>
      <c r="N49" s="39"/>
      <c r="O49" s="39"/>
    </row>
    <row r="50" spans="1:15" ht="13.35" customHeight="1">
      <c r="A50" s="54" t="s">
        <v>9</v>
      </c>
      <c r="B50" s="2" t="s">
        <v>146</v>
      </c>
      <c r="C50" s="12"/>
      <c r="D50" s="51"/>
      <c r="E50" s="51"/>
      <c r="F50" s="51"/>
      <c r="G50" s="51"/>
      <c r="H50" s="49"/>
    </row>
    <row r="51" spans="1:15" ht="13.35" customHeight="1">
      <c r="A51" s="54" t="s">
        <v>10</v>
      </c>
      <c r="B51" s="56"/>
      <c r="C51" s="12"/>
      <c r="D51" s="51"/>
      <c r="E51" s="51"/>
      <c r="F51" s="51"/>
      <c r="G51" s="51"/>
      <c r="H51" s="49"/>
    </row>
    <row r="52" spans="1:15" ht="13.35" customHeight="1">
      <c r="A52" s="155" t="s">
        <v>11</v>
      </c>
      <c r="B52" s="58"/>
      <c r="C52" s="329"/>
      <c r="D52" s="42"/>
      <c r="E52" s="42"/>
      <c r="F52" s="42"/>
      <c r="G52" s="51"/>
      <c r="H52" s="49"/>
    </row>
    <row r="53" spans="1:15" ht="13.35" customHeight="1">
      <c r="A53" s="155"/>
      <c r="B53" s="156"/>
      <c r="C53" s="35"/>
      <c r="H53" s="397"/>
    </row>
    <row r="54" spans="1:15" ht="13.35" customHeight="1" thickBot="1">
      <c r="A54" s="393"/>
      <c r="B54" s="385"/>
      <c r="C54" s="382"/>
      <c r="D54" s="383"/>
      <c r="E54" s="383"/>
      <c r="F54" s="383"/>
      <c r="G54" s="383"/>
      <c r="H54" s="384"/>
    </row>
    <row r="55" spans="1:15" s="39" customFormat="1" ht="13.35" customHeight="1">
      <c r="A55" s="161" t="s">
        <v>17</v>
      </c>
      <c r="B55" s="2"/>
      <c r="C55" s="2"/>
      <c r="D55" s="2"/>
      <c r="E55" s="2"/>
      <c r="F55" s="2"/>
      <c r="G55" s="2"/>
      <c r="H55" s="162" t="s">
        <v>377</v>
      </c>
    </row>
    <row r="56" spans="1:15">
      <c r="A56" s="51" t="s">
        <v>22</v>
      </c>
      <c r="G56" s="40" t="s">
        <v>13</v>
      </c>
    </row>
    <row r="57" spans="1:15">
      <c r="A57" s="51" t="s">
        <v>118</v>
      </c>
    </row>
    <row r="58" spans="1:15">
      <c r="A58" s="51" t="s">
        <v>80</v>
      </c>
    </row>
    <row r="59" spans="1:15" s="4" customFormat="1">
      <c r="A59" s="4" t="s">
        <v>268</v>
      </c>
    </row>
    <row r="60" spans="1:15" ht="12" customHeight="1">
      <c r="A60" s="39"/>
      <c r="I60" s="4"/>
    </row>
    <row r="61" spans="1:15" ht="12" customHeight="1">
      <c r="A61" s="178" t="s">
        <v>266</v>
      </c>
      <c r="B61" s="51"/>
      <c r="C61" s="51"/>
      <c r="D61" s="51"/>
      <c r="E61" s="51"/>
      <c r="F61" s="51"/>
      <c r="G61" s="51"/>
      <c r="H61" s="51"/>
      <c r="I61" s="3"/>
    </row>
    <row r="62" spans="1:15" ht="12" customHeight="1" thickBot="1">
      <c r="A62" s="51" t="s">
        <v>144</v>
      </c>
      <c r="B62" s="51"/>
      <c r="C62" s="51"/>
      <c r="D62" s="51"/>
      <c r="E62" s="51"/>
      <c r="F62" s="51"/>
      <c r="G62" s="51"/>
      <c r="H62" s="51"/>
      <c r="I62" s="3"/>
    </row>
    <row r="63" spans="1:15" ht="12" customHeight="1">
      <c r="A63" s="75" t="s">
        <v>14</v>
      </c>
      <c r="B63" s="81"/>
      <c r="C63" s="175" t="s">
        <v>1</v>
      </c>
      <c r="D63" s="175" t="s">
        <v>2</v>
      </c>
      <c r="E63" s="175" t="s">
        <v>3</v>
      </c>
      <c r="F63" s="175" t="s">
        <v>4</v>
      </c>
      <c r="G63" s="175" t="s">
        <v>5</v>
      </c>
      <c r="H63" s="51"/>
      <c r="I63" s="3"/>
    </row>
    <row r="64" spans="1:15" ht="12" customHeight="1">
      <c r="A64" s="75"/>
      <c r="B64" s="173" t="s">
        <v>32</v>
      </c>
      <c r="C64" s="59" t="s">
        <v>205</v>
      </c>
      <c r="D64" s="174"/>
      <c r="E64" s="174"/>
      <c r="F64" s="174"/>
      <c r="G64" s="174"/>
      <c r="H64" s="51"/>
      <c r="I64" s="3"/>
    </row>
    <row r="65" spans="1:16" ht="12" customHeight="1">
      <c r="A65" s="39"/>
      <c r="B65" s="173" t="s">
        <v>15</v>
      </c>
      <c r="C65" s="170" t="s">
        <v>35</v>
      </c>
      <c r="D65" s="170" t="s">
        <v>36</v>
      </c>
      <c r="E65" s="170" t="s">
        <v>72</v>
      </c>
      <c r="F65" s="170" t="s">
        <v>34</v>
      </c>
      <c r="G65" s="170" t="s">
        <v>135</v>
      </c>
      <c r="I65" s="4"/>
    </row>
    <row r="66" spans="1:16" ht="15">
      <c r="A66" s="39"/>
      <c r="B66" s="231"/>
      <c r="C66" s="233" t="s">
        <v>134</v>
      </c>
      <c r="D66" s="233"/>
      <c r="E66" s="233"/>
      <c r="F66" s="233"/>
      <c r="G66" s="233" t="s">
        <v>136</v>
      </c>
      <c r="I66" s="4"/>
    </row>
    <row r="68" spans="1:16">
      <c r="A68" s="2" t="s">
        <v>125</v>
      </c>
    </row>
    <row r="70" spans="1:16" ht="15">
      <c r="A70"/>
      <c r="B70" s="370" t="s">
        <v>53</v>
      </c>
      <c r="C70" s="370" t="s">
        <v>334</v>
      </c>
      <c r="D70" s="370" t="s">
        <v>52</v>
      </c>
      <c r="E70" s="370" t="s">
        <v>58</v>
      </c>
      <c r="F70" s="370" t="s">
        <v>334</v>
      </c>
      <c r="G70" s="370" t="s">
        <v>52</v>
      </c>
      <c r="H70" s="370" t="s">
        <v>74</v>
      </c>
      <c r="I70" s="370" t="s">
        <v>334</v>
      </c>
      <c r="J70" s="370" t="s">
        <v>52</v>
      </c>
      <c r="K70" s="370" t="s">
        <v>54</v>
      </c>
      <c r="L70" s="370" t="s">
        <v>334</v>
      </c>
      <c r="M70" s="370" t="s">
        <v>52</v>
      </c>
      <c r="N70"/>
      <c r="O70"/>
      <c r="P70"/>
    </row>
    <row r="71" spans="1:16" ht="15">
      <c r="A71" s="371" t="s">
        <v>73</v>
      </c>
      <c r="B71" s="181">
        <v>10</v>
      </c>
      <c r="C71" s="181">
        <f>COUNTIF(C12:F51,"Sears")-3</f>
        <v>1</v>
      </c>
      <c r="D71" s="181">
        <f>SUM(B71:C71)</f>
        <v>11</v>
      </c>
      <c r="E71" s="4">
        <v>3</v>
      </c>
      <c r="F71" s="181">
        <v>1</v>
      </c>
      <c r="G71" s="4">
        <f>SUM(E71:F71)</f>
        <v>4</v>
      </c>
      <c r="H71" s="4">
        <v>3</v>
      </c>
      <c r="I71" s="181">
        <f>COUNTIF(G3:G50,"Sears")</f>
        <v>1</v>
      </c>
      <c r="J71" s="4">
        <f>SUM(H71:I71)</f>
        <v>4</v>
      </c>
      <c r="K71" s="181">
        <v>2</v>
      </c>
      <c r="L71" s="181">
        <v>0</v>
      </c>
      <c r="M71" s="379">
        <f>SUM(K71:L71)</f>
        <v>2</v>
      </c>
      <c r="N71"/>
      <c r="O71"/>
      <c r="P71" s="4"/>
    </row>
    <row r="72" spans="1:16" ht="15">
      <c r="A72" s="371" t="s">
        <v>48</v>
      </c>
      <c r="B72" s="181">
        <v>9</v>
      </c>
      <c r="C72" s="181">
        <f>COUNTIF(C12:F51,"Thompson")-1</f>
        <v>1</v>
      </c>
      <c r="D72" s="181">
        <f t="shared" ref="D72:D78" si="0">SUM(B72:C72)</f>
        <v>10</v>
      </c>
      <c r="E72" s="4">
        <v>2</v>
      </c>
      <c r="F72" s="181">
        <v>1</v>
      </c>
      <c r="G72" s="4">
        <f t="shared" ref="G72:G78" si="1">SUM(E72:F72)</f>
        <v>3</v>
      </c>
      <c r="H72" s="4">
        <v>2</v>
      </c>
      <c r="I72" s="181">
        <f>COUNTIF(G3:G50,"Thompson")</f>
        <v>1</v>
      </c>
      <c r="J72" s="4">
        <f t="shared" ref="J72:J78" si="2">SUM(H72:I72)</f>
        <v>3</v>
      </c>
      <c r="K72" s="181">
        <v>2</v>
      </c>
      <c r="L72" s="181">
        <v>0</v>
      </c>
      <c r="M72" s="181">
        <f t="shared" ref="M72:M78" si="3">SUM(K72:L72)</f>
        <v>2</v>
      </c>
      <c r="N72" t="s">
        <v>335</v>
      </c>
      <c r="O72"/>
      <c r="P72" s="4"/>
    </row>
    <row r="73" spans="1:16" ht="15">
      <c r="A73" s="371" t="s">
        <v>49</v>
      </c>
      <c r="B73" s="181">
        <v>9</v>
      </c>
      <c r="C73" s="181">
        <f>COUNTIF(C12:F51,"Miller")-5</f>
        <v>1</v>
      </c>
      <c r="D73" s="181">
        <f t="shared" si="0"/>
        <v>10</v>
      </c>
      <c r="E73" s="4">
        <v>1</v>
      </c>
      <c r="F73" s="181">
        <v>1</v>
      </c>
      <c r="G73" s="4">
        <f t="shared" si="1"/>
        <v>2</v>
      </c>
      <c r="H73" s="4">
        <v>3</v>
      </c>
      <c r="I73" s="181">
        <f>COUNTIF(G3:G50,"Miller")</f>
        <v>1</v>
      </c>
      <c r="J73" s="4">
        <f t="shared" si="2"/>
        <v>4</v>
      </c>
      <c r="K73" s="181">
        <v>2</v>
      </c>
      <c r="L73" s="181">
        <v>1</v>
      </c>
      <c r="M73" s="181">
        <f t="shared" si="3"/>
        <v>3</v>
      </c>
      <c r="N73"/>
      <c r="O73"/>
      <c r="P73" s="4"/>
    </row>
    <row r="74" spans="1:16" ht="15">
      <c r="A74" s="371" t="s">
        <v>50</v>
      </c>
      <c r="B74" s="181">
        <v>8</v>
      </c>
      <c r="C74" s="181">
        <f>COUNTIF(C12:F51,"Philbrick")-4</f>
        <v>1</v>
      </c>
      <c r="D74" s="181">
        <f t="shared" si="0"/>
        <v>9</v>
      </c>
      <c r="E74" s="4">
        <v>3</v>
      </c>
      <c r="F74" s="181"/>
      <c r="G74" s="229">
        <f t="shared" si="1"/>
        <v>3</v>
      </c>
      <c r="H74" s="4">
        <v>1</v>
      </c>
      <c r="I74" s="181">
        <f>COUNTIF(G3:G50,"Philbrick")-1</f>
        <v>1</v>
      </c>
      <c r="J74" s="4">
        <f t="shared" si="2"/>
        <v>2</v>
      </c>
      <c r="K74" s="181">
        <v>3</v>
      </c>
      <c r="L74" s="181">
        <v>1</v>
      </c>
      <c r="M74" s="181">
        <f t="shared" si="3"/>
        <v>4</v>
      </c>
      <c r="N74"/>
      <c r="O74"/>
      <c r="P74" s="4"/>
    </row>
    <row r="75" spans="1:16" ht="15">
      <c r="A75" s="371" t="s">
        <v>311</v>
      </c>
      <c r="B75" s="181">
        <v>9</v>
      </c>
      <c r="C75" s="4">
        <f>COUNTIF(C12:F51,"Jones")</f>
        <v>0</v>
      </c>
      <c r="D75" s="379">
        <f t="shared" si="0"/>
        <v>9</v>
      </c>
      <c r="E75" s="4">
        <v>3</v>
      </c>
      <c r="F75" s="4"/>
      <c r="G75" s="229">
        <f t="shared" si="1"/>
        <v>3</v>
      </c>
      <c r="H75" s="4">
        <v>3</v>
      </c>
      <c r="I75" s="4">
        <f>COUNTIF(G3:G50,"Jones")</f>
        <v>1</v>
      </c>
      <c r="J75" s="229">
        <f t="shared" si="2"/>
        <v>4</v>
      </c>
      <c r="K75" s="181">
        <v>2</v>
      </c>
      <c r="L75" s="181"/>
      <c r="M75" s="379">
        <f t="shared" si="3"/>
        <v>2</v>
      </c>
      <c r="N75"/>
      <c r="O75"/>
      <c r="P75" s="4"/>
    </row>
    <row r="76" spans="1:16" ht="15">
      <c r="A76" s="371" t="s">
        <v>312</v>
      </c>
      <c r="B76" s="181">
        <v>8</v>
      </c>
      <c r="C76" s="4">
        <f>COUNTIF(C12:F51,"Moezzi")-3</f>
        <v>2</v>
      </c>
      <c r="D76" s="181">
        <f t="shared" si="0"/>
        <v>10</v>
      </c>
      <c r="E76" s="4">
        <v>2</v>
      </c>
      <c r="F76" s="4">
        <v>1</v>
      </c>
      <c r="G76" s="4">
        <f t="shared" si="1"/>
        <v>3</v>
      </c>
      <c r="H76" s="4">
        <v>2</v>
      </c>
      <c r="I76" s="4">
        <f>COUNTIF(G3:G50,"Moezzi")-1</f>
        <v>0</v>
      </c>
      <c r="J76" s="4">
        <f t="shared" si="2"/>
        <v>2</v>
      </c>
      <c r="K76" s="181">
        <v>2</v>
      </c>
      <c r="L76" s="181">
        <v>1</v>
      </c>
      <c r="M76" s="181">
        <f t="shared" si="3"/>
        <v>3</v>
      </c>
      <c r="N76"/>
      <c r="O76"/>
      <c r="P76" s="4"/>
    </row>
    <row r="77" spans="1:16" ht="15">
      <c r="A77" s="371" t="s">
        <v>313</v>
      </c>
      <c r="B77" s="181">
        <v>8</v>
      </c>
      <c r="C77" s="4">
        <f>COUNTIF(C12:F51,"Tung")</f>
        <v>4</v>
      </c>
      <c r="D77" s="181">
        <f t="shared" si="0"/>
        <v>12</v>
      </c>
      <c r="E77" s="4">
        <v>3</v>
      </c>
      <c r="F77" s="4"/>
      <c r="G77" s="4">
        <f t="shared" si="1"/>
        <v>3</v>
      </c>
      <c r="H77" s="4">
        <v>3</v>
      </c>
      <c r="I77" s="4">
        <f>COUNTIF(G3:G50,"Tung")</f>
        <v>0</v>
      </c>
      <c r="J77" s="4">
        <f t="shared" si="2"/>
        <v>3</v>
      </c>
      <c r="K77" s="181">
        <v>2</v>
      </c>
      <c r="L77" s="181">
        <v>2</v>
      </c>
      <c r="M77" s="181">
        <f t="shared" si="3"/>
        <v>4</v>
      </c>
      <c r="N77"/>
      <c r="O77"/>
      <c r="P77" s="4"/>
    </row>
    <row r="78" spans="1:16" ht="15.75" thickBot="1">
      <c r="A78" s="371" t="s">
        <v>314</v>
      </c>
      <c r="B78" s="181">
        <v>6</v>
      </c>
      <c r="C78" s="4">
        <f>COUNTIF(C12:F51,"Wen")-4</f>
        <v>3</v>
      </c>
      <c r="D78" s="181">
        <f t="shared" si="0"/>
        <v>9</v>
      </c>
      <c r="E78" s="4">
        <v>1</v>
      </c>
      <c r="F78" s="4">
        <v>1</v>
      </c>
      <c r="G78" s="4">
        <f t="shared" si="1"/>
        <v>2</v>
      </c>
      <c r="H78" s="4">
        <v>1</v>
      </c>
      <c r="I78" s="4">
        <f>COUNTIF(G3:G50,"Wen")-1</f>
        <v>1</v>
      </c>
      <c r="J78" s="229">
        <f t="shared" si="2"/>
        <v>2</v>
      </c>
      <c r="K78" s="181">
        <v>2</v>
      </c>
      <c r="L78" s="181"/>
      <c r="M78" s="379">
        <f t="shared" si="3"/>
        <v>2</v>
      </c>
      <c r="N78"/>
      <c r="O78"/>
      <c r="P78" s="4"/>
    </row>
    <row r="79" spans="1:16" ht="15.75" thickBot="1">
      <c r="A79" s="185"/>
      <c r="B79" s="370">
        <f t="shared" ref="B79:M79" si="4">SUM(B71:B78)</f>
        <v>67</v>
      </c>
      <c r="C79" s="372">
        <f t="shared" si="4"/>
        <v>13</v>
      </c>
      <c r="D79" s="370">
        <f t="shared" si="4"/>
        <v>80</v>
      </c>
      <c r="E79" s="370">
        <f t="shared" si="4"/>
        <v>18</v>
      </c>
      <c r="F79" s="372">
        <f t="shared" si="4"/>
        <v>5</v>
      </c>
      <c r="G79" s="370">
        <f t="shared" si="4"/>
        <v>23</v>
      </c>
      <c r="H79" s="370">
        <f t="shared" si="4"/>
        <v>18</v>
      </c>
      <c r="I79" s="372">
        <f t="shared" si="4"/>
        <v>6</v>
      </c>
      <c r="J79" s="370">
        <f t="shared" si="4"/>
        <v>24</v>
      </c>
      <c r="K79" s="370">
        <f t="shared" si="4"/>
        <v>17</v>
      </c>
      <c r="L79" s="372">
        <f t="shared" si="4"/>
        <v>5</v>
      </c>
      <c r="M79" s="370">
        <f t="shared" si="4"/>
        <v>22</v>
      </c>
      <c r="N79"/>
      <c r="O79" s="4" t="s">
        <v>336</v>
      </c>
      <c r="P79" s="373">
        <f>SUM(C79,F79,I79,L79)</f>
        <v>29</v>
      </c>
    </row>
    <row r="80" spans="1:16" ht="15">
      <c r="A80" s="185"/>
      <c r="B80" s="181"/>
      <c r="C80" s="181"/>
      <c r="D80" s="181"/>
      <c r="E80"/>
      <c r="F80"/>
      <c r="G80"/>
      <c r="H80" s="181"/>
      <c r="I80" s="181"/>
      <c r="J80" s="181"/>
      <c r="K80"/>
      <c r="L80"/>
      <c r="M80"/>
      <c r="N80"/>
      <c r="O80"/>
      <c r="P80"/>
    </row>
    <row r="81" spans="1:16" ht="15">
      <c r="A81" s="185"/>
      <c r="B81" s="374" t="s">
        <v>53</v>
      </c>
      <c r="C81" s="375" t="s">
        <v>334</v>
      </c>
      <c r="D81" s="374" t="s">
        <v>52</v>
      </c>
      <c r="E81"/>
      <c r="F81"/>
      <c r="G81"/>
      <c r="H81" s="374" t="s">
        <v>54</v>
      </c>
      <c r="I81" s="375" t="s">
        <v>334</v>
      </c>
      <c r="J81" s="374" t="s">
        <v>52</v>
      </c>
      <c r="K81"/>
      <c r="L81"/>
      <c r="M81"/>
      <c r="N81"/>
      <c r="O81"/>
      <c r="P81"/>
    </row>
    <row r="82" spans="1:16" ht="15">
      <c r="A82" s="185" t="s">
        <v>44</v>
      </c>
      <c r="B82" s="181">
        <v>21</v>
      </c>
      <c r="C82" s="181">
        <f>COUNTIF(C6:G53,"Dieu")-1</f>
        <v>4</v>
      </c>
      <c r="D82" s="181">
        <f>SUM(B82:C82)</f>
        <v>25</v>
      </c>
      <c r="E82"/>
      <c r="F82"/>
      <c r="G82"/>
      <c r="H82" s="181">
        <v>4</v>
      </c>
      <c r="I82" s="181">
        <v>1</v>
      </c>
      <c r="J82" s="181">
        <f>SUM(H82:I82)</f>
        <v>5</v>
      </c>
      <c r="K82"/>
      <c r="L82"/>
      <c r="M82"/>
      <c r="N82"/>
      <c r="O82"/>
      <c r="P82"/>
    </row>
    <row r="83" spans="1:16" ht="15">
      <c r="A83" s="185" t="s">
        <v>45</v>
      </c>
      <c r="B83" s="181">
        <v>21</v>
      </c>
      <c r="C83" s="181">
        <f>COUNTIF(C6:G53,"Huynh")</f>
        <v>6</v>
      </c>
      <c r="D83" s="181">
        <f>SUM(B83:C83)</f>
        <v>27</v>
      </c>
      <c r="E83"/>
      <c r="F83"/>
      <c r="G83"/>
      <c r="H83" s="181">
        <v>5</v>
      </c>
      <c r="I83" s="181">
        <v>1</v>
      </c>
      <c r="J83" s="181">
        <f t="shared" ref="J83:J85" si="5">SUM(H83:I83)</f>
        <v>6</v>
      </c>
      <c r="K83"/>
      <c r="L83"/>
      <c r="M83"/>
      <c r="N83"/>
      <c r="O83"/>
      <c r="P83"/>
    </row>
    <row r="84" spans="1:16" ht="15">
      <c r="A84" s="185" t="s">
        <v>46</v>
      </c>
      <c r="B84" s="181">
        <v>22</v>
      </c>
      <c r="C84" s="2">
        <f>COUNTIF(C6:G53,"Mathew")-5</f>
        <v>4</v>
      </c>
      <c r="D84" s="181">
        <f t="shared" ref="D84:D85" si="6">SUM(B84:C84)</f>
        <v>26</v>
      </c>
      <c r="E84"/>
      <c r="F84"/>
      <c r="G84"/>
      <c r="H84" s="181">
        <v>4</v>
      </c>
      <c r="I84" s="181">
        <v>1</v>
      </c>
      <c r="J84" s="181">
        <f t="shared" si="5"/>
        <v>5</v>
      </c>
      <c r="K84"/>
      <c r="L84"/>
      <c r="M84"/>
      <c r="N84"/>
      <c r="O84"/>
      <c r="P84"/>
    </row>
    <row r="85" spans="1:16" ht="15">
      <c r="A85" s="185" t="s">
        <v>47</v>
      </c>
      <c r="B85" s="181">
        <v>21</v>
      </c>
      <c r="C85" s="181">
        <f>COUNTIF(C6:G53,"Noh")</f>
        <v>5</v>
      </c>
      <c r="D85" s="181">
        <f t="shared" si="6"/>
        <v>26</v>
      </c>
      <c r="E85"/>
      <c r="F85"/>
      <c r="G85"/>
      <c r="H85" s="4">
        <v>4</v>
      </c>
      <c r="I85" s="4">
        <v>2</v>
      </c>
      <c r="J85" s="181">
        <f t="shared" si="5"/>
        <v>6</v>
      </c>
      <c r="K85"/>
      <c r="L85"/>
      <c r="M85"/>
      <c r="N85"/>
      <c r="O85"/>
      <c r="P85"/>
    </row>
    <row r="88" spans="1:16" ht="15">
      <c r="A88"/>
      <c r="B88" s="4" t="s">
        <v>60</v>
      </c>
      <c r="C88" s="4" t="s">
        <v>61</v>
      </c>
      <c r="D88"/>
      <c r="E88"/>
      <c r="F88" s="370" t="s">
        <v>63</v>
      </c>
      <c r="G88" s="370" t="s">
        <v>334</v>
      </c>
      <c r="H88" s="4" t="s">
        <v>52</v>
      </c>
    </row>
    <row r="89" spans="1:16" ht="15">
      <c r="A89" s="181" t="s">
        <v>73</v>
      </c>
      <c r="B89"/>
      <c r="C89"/>
      <c r="D89"/>
      <c r="E89" s="181" t="s">
        <v>73</v>
      </c>
      <c r="F89" s="4">
        <v>2</v>
      </c>
      <c r="G89" s="4"/>
      <c r="H89">
        <f>SUM(F89:G89)</f>
        <v>2</v>
      </c>
    </row>
    <row r="90" spans="1:16" ht="15">
      <c r="A90" s="181" t="s">
        <v>48</v>
      </c>
      <c r="B90">
        <v>1</v>
      </c>
      <c r="C90"/>
      <c r="D90"/>
      <c r="E90" s="181" t="s">
        <v>48</v>
      </c>
      <c r="F90" s="4">
        <v>1</v>
      </c>
      <c r="G90" s="4">
        <v>1</v>
      </c>
      <c r="H90">
        <f t="shared" ref="H90:H96" si="7">SUM(F90:G90)</f>
        <v>2</v>
      </c>
    </row>
    <row r="91" spans="1:16" ht="15">
      <c r="A91" s="181" t="s">
        <v>49</v>
      </c>
      <c r="B91">
        <v>1</v>
      </c>
      <c r="C91"/>
      <c r="D91"/>
      <c r="E91" s="181" t="s">
        <v>49</v>
      </c>
      <c r="F91" s="4">
        <v>1</v>
      </c>
      <c r="G91" s="4">
        <v>1</v>
      </c>
      <c r="H91">
        <f t="shared" si="7"/>
        <v>2</v>
      </c>
    </row>
    <row r="92" spans="1:16" ht="15">
      <c r="A92" s="181" t="s">
        <v>50</v>
      </c>
      <c r="B92"/>
      <c r="C92"/>
      <c r="D92"/>
      <c r="E92" s="181" t="s">
        <v>50</v>
      </c>
      <c r="F92" s="4">
        <v>1</v>
      </c>
      <c r="G92" s="4"/>
      <c r="H92">
        <f t="shared" si="7"/>
        <v>1</v>
      </c>
    </row>
    <row r="93" spans="1:16" ht="15">
      <c r="A93" s="181" t="s">
        <v>311</v>
      </c>
      <c r="B93"/>
      <c r="C93"/>
      <c r="D93"/>
      <c r="E93" s="181" t="s">
        <v>311</v>
      </c>
      <c r="F93" s="4">
        <v>2</v>
      </c>
      <c r="G93" s="4"/>
      <c r="H93">
        <f t="shared" si="7"/>
        <v>2</v>
      </c>
    </row>
    <row r="94" spans="1:16" ht="15">
      <c r="A94" s="181" t="s">
        <v>312</v>
      </c>
      <c r="B94"/>
      <c r="C94"/>
      <c r="D94"/>
      <c r="E94" s="181" t="s">
        <v>312</v>
      </c>
      <c r="F94" s="4">
        <v>2</v>
      </c>
      <c r="G94" s="4"/>
      <c r="H94">
        <f t="shared" si="7"/>
        <v>2</v>
      </c>
    </row>
    <row r="95" spans="1:16" ht="15">
      <c r="A95" s="181" t="s">
        <v>313</v>
      </c>
      <c r="B95"/>
      <c r="C95"/>
      <c r="D95"/>
      <c r="E95" s="181" t="s">
        <v>313</v>
      </c>
      <c r="F95" s="4">
        <v>2</v>
      </c>
      <c r="G95" s="4"/>
      <c r="H95">
        <f t="shared" si="7"/>
        <v>2</v>
      </c>
    </row>
    <row r="96" spans="1:16" ht="15">
      <c r="A96" s="181" t="s">
        <v>314</v>
      </c>
      <c r="B96" s="4"/>
      <c r="C96"/>
      <c r="D96"/>
      <c r="E96" s="181" t="s">
        <v>314</v>
      </c>
      <c r="F96" s="4">
        <v>1</v>
      </c>
      <c r="G96" s="4">
        <v>1</v>
      </c>
      <c r="H96">
        <f t="shared" si="7"/>
        <v>2</v>
      </c>
    </row>
    <row r="97" spans="1:7" ht="15">
      <c r="A97" s="181" t="s">
        <v>44</v>
      </c>
      <c r="B97">
        <v>1</v>
      </c>
      <c r="C97" s="4"/>
      <c r="D97"/>
      <c r="E97"/>
      <c r="F97"/>
      <c r="G97"/>
    </row>
    <row r="98" spans="1:7" ht="15">
      <c r="A98" s="181" t="s">
        <v>45</v>
      </c>
      <c r="B98" s="4"/>
      <c r="C98"/>
      <c r="D98"/>
      <c r="E98"/>
      <c r="F98"/>
      <c r="G98"/>
    </row>
    <row r="99" spans="1:7" ht="15">
      <c r="A99" s="181" t="s">
        <v>46</v>
      </c>
      <c r="B99">
        <v>1</v>
      </c>
      <c r="C99"/>
      <c r="D99"/>
      <c r="E99"/>
      <c r="F99"/>
      <c r="G99"/>
    </row>
    <row r="100" spans="1:7" ht="15">
      <c r="A100" s="181" t="s">
        <v>47</v>
      </c>
      <c r="B100"/>
      <c r="C100"/>
      <c r="D100"/>
      <c r="E100"/>
      <c r="F100"/>
      <c r="G100"/>
    </row>
  </sheetData>
  <mergeCells count="1">
    <mergeCell ref="B1:H1"/>
  </mergeCells>
  <pageMargins left="0.3" right="0.25" top="0.6" bottom="0.25" header="0.3" footer="0.3"/>
  <pageSetup scale="65" orientation="landscape" r:id="rId1"/>
  <headerFooter>
    <oddHeader>&amp;C&amp;"Times New Roman,Bold"Ophthalmology Resident Call/Rounds Presentation/Vacation Schedule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G87"/>
  <sheetViews>
    <sheetView zoomScale="76" zoomScaleNormal="76" workbookViewId="0"/>
  </sheetViews>
  <sheetFormatPr defaultColWidth="8.7109375" defaultRowHeight="12"/>
  <cols>
    <col min="1" max="8" width="18.7109375" style="2" customWidth="1"/>
    <col min="9" max="10" width="8.7109375" style="2"/>
    <col min="11" max="11" width="14.5703125" style="2" bestFit="1" customWidth="1"/>
    <col min="12" max="12" width="11.85546875" style="2" bestFit="1" customWidth="1"/>
    <col min="13" max="16384" width="8.7109375" style="2"/>
  </cols>
  <sheetData>
    <row r="1" spans="1:13" ht="16.5" thickBot="1">
      <c r="B1" s="405" t="s">
        <v>81</v>
      </c>
      <c r="C1" s="406"/>
      <c r="D1" s="406"/>
      <c r="E1" s="406"/>
      <c r="F1" s="406"/>
      <c r="G1" s="406"/>
      <c r="H1" s="406"/>
    </row>
    <row r="2" spans="1:13" ht="15.75" thickBot="1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K2"/>
      <c r="L2" s="4" t="s">
        <v>67</v>
      </c>
      <c r="M2" s="4" t="s">
        <v>68</v>
      </c>
    </row>
    <row r="3" spans="1:13" ht="13.35" customHeight="1">
      <c r="A3" s="22"/>
      <c r="B3" s="30"/>
      <c r="C3" s="24">
        <v>1</v>
      </c>
      <c r="D3" s="9">
        <v>2</v>
      </c>
      <c r="E3" s="9">
        <v>3</v>
      </c>
      <c r="F3" s="24">
        <v>4</v>
      </c>
      <c r="G3" s="9">
        <v>5</v>
      </c>
      <c r="H3" s="9">
        <v>6</v>
      </c>
      <c r="K3" s="181" t="s">
        <v>44</v>
      </c>
      <c r="L3" s="222" t="s">
        <v>170</v>
      </c>
      <c r="M3" s="222" t="s">
        <v>70</v>
      </c>
    </row>
    <row r="4" spans="1:13" ht="13.35" customHeight="1">
      <c r="A4" s="11" t="s">
        <v>7</v>
      </c>
      <c r="B4" s="105"/>
      <c r="C4" s="13" t="s">
        <v>137</v>
      </c>
      <c r="D4" s="13" t="s">
        <v>136</v>
      </c>
      <c r="E4" s="13" t="s">
        <v>72</v>
      </c>
      <c r="F4" s="13" t="s">
        <v>34</v>
      </c>
      <c r="G4" s="13" t="s">
        <v>136</v>
      </c>
      <c r="H4" s="13" t="s">
        <v>72</v>
      </c>
      <c r="K4" s="181" t="s">
        <v>46</v>
      </c>
      <c r="L4" s="4" t="s">
        <v>65</v>
      </c>
      <c r="M4" s="4" t="s">
        <v>302</v>
      </c>
    </row>
    <row r="5" spans="1:13" ht="13.35" customHeight="1">
      <c r="A5" s="84" t="s">
        <v>8</v>
      </c>
      <c r="B5" s="105"/>
      <c r="C5" s="19"/>
      <c r="D5" s="19"/>
      <c r="E5" s="19"/>
      <c r="F5" s="19"/>
      <c r="G5" s="19"/>
      <c r="H5" s="19"/>
      <c r="K5" s="181" t="s">
        <v>47</v>
      </c>
      <c r="L5" s="4" t="s">
        <v>66</v>
      </c>
      <c r="M5" s="4" t="s">
        <v>69</v>
      </c>
    </row>
    <row r="6" spans="1:13" ht="13.35" customHeight="1">
      <c r="A6" s="15" t="s">
        <v>9</v>
      </c>
      <c r="B6" s="14"/>
      <c r="C6" s="13" t="s">
        <v>26</v>
      </c>
      <c r="D6" s="13" t="s">
        <v>24</v>
      </c>
      <c r="E6" s="13" t="s">
        <v>146</v>
      </c>
      <c r="F6" s="13" t="s">
        <v>25</v>
      </c>
      <c r="G6" s="13" t="s">
        <v>26</v>
      </c>
      <c r="H6" s="13" t="s">
        <v>25</v>
      </c>
      <c r="K6" s="181" t="s">
        <v>35</v>
      </c>
      <c r="L6" s="2" t="s">
        <v>337</v>
      </c>
    </row>
    <row r="7" spans="1:13" ht="13.35" customHeight="1">
      <c r="A7" s="15" t="s">
        <v>10</v>
      </c>
      <c r="B7" s="309"/>
      <c r="C7" s="19"/>
      <c r="D7" s="19"/>
      <c r="E7" s="18" t="s">
        <v>62</v>
      </c>
      <c r="F7" s="19"/>
      <c r="G7" s="19"/>
      <c r="H7" s="19"/>
      <c r="K7" s="181" t="s">
        <v>36</v>
      </c>
      <c r="L7" s="2" t="s">
        <v>337</v>
      </c>
    </row>
    <row r="8" spans="1:13" ht="13.35" customHeight="1" thickBot="1">
      <c r="A8" s="20"/>
      <c r="B8" s="292"/>
      <c r="C8" s="29"/>
      <c r="D8" s="29"/>
      <c r="E8" s="29"/>
      <c r="F8" s="354" t="s">
        <v>196</v>
      </c>
      <c r="G8" s="354" t="s">
        <v>356</v>
      </c>
      <c r="H8" s="16"/>
      <c r="K8" s="181" t="s">
        <v>34</v>
      </c>
      <c r="L8" s="2" t="s">
        <v>337</v>
      </c>
    </row>
    <row r="9" spans="1:13" ht="13.35" customHeight="1">
      <c r="A9" s="22"/>
      <c r="B9" s="9">
        <v>7</v>
      </c>
      <c r="C9" s="9">
        <v>8</v>
      </c>
      <c r="D9" s="9">
        <v>9</v>
      </c>
      <c r="E9" s="9">
        <v>10</v>
      </c>
      <c r="F9" s="24" t="s">
        <v>256</v>
      </c>
      <c r="G9" s="24">
        <v>12</v>
      </c>
      <c r="H9" s="9">
        <v>13</v>
      </c>
      <c r="K9" s="181" t="s">
        <v>72</v>
      </c>
      <c r="L9" s="2" t="s">
        <v>337</v>
      </c>
    </row>
    <row r="10" spans="1:13" ht="13.35" customHeight="1">
      <c r="A10" s="11" t="s">
        <v>7</v>
      </c>
      <c r="B10" s="13" t="s">
        <v>72</v>
      </c>
      <c r="C10" s="13" t="s">
        <v>134</v>
      </c>
      <c r="D10" s="13" t="s">
        <v>369</v>
      </c>
      <c r="E10" s="13" t="s">
        <v>35</v>
      </c>
      <c r="F10" s="13" t="s">
        <v>36</v>
      </c>
      <c r="G10" s="13" t="s">
        <v>137</v>
      </c>
      <c r="H10" s="13" t="s">
        <v>34</v>
      </c>
      <c r="K10" s="181" t="s">
        <v>137</v>
      </c>
      <c r="L10" s="2" t="s">
        <v>303</v>
      </c>
    </row>
    <row r="11" spans="1:13" ht="13.35" customHeight="1">
      <c r="A11" s="84" t="s">
        <v>8</v>
      </c>
      <c r="B11" s="18" t="s">
        <v>136</v>
      </c>
      <c r="C11" s="19"/>
      <c r="D11" s="19"/>
      <c r="E11" s="19"/>
      <c r="F11" s="19"/>
      <c r="G11" s="19"/>
      <c r="H11" s="19"/>
      <c r="K11" s="181" t="s">
        <v>306</v>
      </c>
      <c r="L11" s="2" t="s">
        <v>338</v>
      </c>
    </row>
    <row r="12" spans="1:13" ht="13.35" customHeight="1">
      <c r="A12" s="15" t="s">
        <v>9</v>
      </c>
      <c r="B12" s="18" t="s">
        <v>25</v>
      </c>
      <c r="C12" s="14" t="s">
        <v>146</v>
      </c>
      <c r="D12" s="14" t="s">
        <v>25</v>
      </c>
      <c r="E12" s="14" t="s">
        <v>24</v>
      </c>
      <c r="F12" s="14" t="s">
        <v>146</v>
      </c>
      <c r="G12" s="13" t="s">
        <v>26</v>
      </c>
      <c r="H12" s="13" t="s">
        <v>24</v>
      </c>
      <c r="K12" s="181" t="s">
        <v>307</v>
      </c>
      <c r="L12" s="2" t="s">
        <v>173</v>
      </c>
    </row>
    <row r="13" spans="1:13" ht="13.35" customHeight="1">
      <c r="A13" s="15" t="s">
        <v>10</v>
      </c>
      <c r="B13" s="19"/>
      <c r="C13" s="19"/>
      <c r="D13" s="19"/>
      <c r="E13" s="18" t="s">
        <v>36</v>
      </c>
      <c r="F13" s="19"/>
      <c r="G13" s="19"/>
      <c r="H13" s="19"/>
      <c r="K13" s="181" t="s">
        <v>136</v>
      </c>
      <c r="L13" s="2" t="s">
        <v>163</v>
      </c>
      <c r="M13" s="2" t="s">
        <v>167</v>
      </c>
    </row>
    <row r="14" spans="1:13" ht="13.35" customHeight="1" thickBot="1">
      <c r="A14" s="291" t="s">
        <v>11</v>
      </c>
      <c r="B14" s="296"/>
      <c r="C14" s="296"/>
      <c r="D14" s="296"/>
      <c r="E14" s="296"/>
      <c r="F14" s="296"/>
      <c r="G14" s="295" t="s">
        <v>340</v>
      </c>
      <c r="H14" s="16"/>
    </row>
    <row r="15" spans="1:13" ht="13.35" customHeight="1">
      <c r="A15" s="22"/>
      <c r="B15" s="9">
        <v>14</v>
      </c>
      <c r="C15" s="24">
        <v>15</v>
      </c>
      <c r="D15" s="9">
        <v>16</v>
      </c>
      <c r="E15" s="24">
        <v>17</v>
      </c>
      <c r="F15" s="24">
        <v>18</v>
      </c>
      <c r="G15" s="24" t="s">
        <v>126</v>
      </c>
      <c r="H15" s="9">
        <v>20</v>
      </c>
      <c r="K15" s="4"/>
    </row>
    <row r="16" spans="1:13" ht="13.35" customHeight="1">
      <c r="A16" s="11" t="s">
        <v>7</v>
      </c>
      <c r="B16" s="13" t="s">
        <v>34</v>
      </c>
      <c r="C16" s="13" t="s">
        <v>367</v>
      </c>
      <c r="D16" s="2" t="s">
        <v>136</v>
      </c>
      <c r="E16" s="13" t="s">
        <v>34</v>
      </c>
      <c r="F16" s="13" t="s">
        <v>368</v>
      </c>
      <c r="G16" s="13" t="s">
        <v>35</v>
      </c>
      <c r="H16" s="13" t="s">
        <v>136</v>
      </c>
    </row>
    <row r="17" spans="1:11" ht="13.35" customHeight="1">
      <c r="A17" s="84" t="s">
        <v>8</v>
      </c>
      <c r="B17" s="13" t="s">
        <v>137</v>
      </c>
      <c r="C17" s="19"/>
      <c r="D17" s="19"/>
      <c r="E17" s="19"/>
      <c r="F17" s="19"/>
      <c r="G17" s="19"/>
      <c r="H17" s="19"/>
    </row>
    <row r="18" spans="1:11" ht="13.35" customHeight="1">
      <c r="A18" s="15" t="s">
        <v>9</v>
      </c>
      <c r="B18" s="95" t="s">
        <v>24</v>
      </c>
      <c r="C18" s="14" t="s">
        <v>146</v>
      </c>
      <c r="D18" s="14" t="s">
        <v>25</v>
      </c>
      <c r="E18" s="14" t="s">
        <v>24</v>
      </c>
      <c r="F18" s="14" t="s">
        <v>24</v>
      </c>
      <c r="G18" s="13" t="s">
        <v>25</v>
      </c>
      <c r="H18" s="13" t="s">
        <v>35</v>
      </c>
    </row>
    <row r="19" spans="1:11" ht="13.35" customHeight="1">
      <c r="A19" s="15" t="s">
        <v>10</v>
      </c>
      <c r="B19" s="19"/>
      <c r="C19" s="19"/>
      <c r="D19" s="19"/>
      <c r="E19" s="109" t="s">
        <v>134</v>
      </c>
      <c r="F19" s="19"/>
      <c r="G19" s="19"/>
      <c r="H19" s="19"/>
    </row>
    <row r="20" spans="1:11" ht="12.75" customHeight="1" thickBot="1">
      <c r="A20" s="85" t="s">
        <v>11</v>
      </c>
      <c r="B20" s="286"/>
      <c r="C20" s="295"/>
      <c r="D20" s="295"/>
      <c r="E20" s="295"/>
      <c r="F20" s="295"/>
      <c r="G20" s="295"/>
      <c r="H20" s="286"/>
    </row>
    <row r="21" spans="1:11" ht="12.75" customHeight="1">
      <c r="A21" s="11"/>
      <c r="B21" s="9">
        <v>21</v>
      </c>
      <c r="C21" s="9">
        <v>22</v>
      </c>
      <c r="D21" s="9">
        <v>23</v>
      </c>
      <c r="E21" s="9">
        <v>24</v>
      </c>
      <c r="F21" s="9">
        <v>25</v>
      </c>
      <c r="G21" s="9">
        <v>26</v>
      </c>
      <c r="H21" s="23">
        <v>27</v>
      </c>
    </row>
    <row r="22" spans="1:11" ht="12.75" customHeight="1">
      <c r="A22" s="83" t="s">
        <v>7</v>
      </c>
      <c r="B22" s="13" t="s">
        <v>136</v>
      </c>
      <c r="C22" s="13" t="s">
        <v>137</v>
      </c>
      <c r="D22" s="308" t="s">
        <v>136</v>
      </c>
      <c r="E22" s="13" t="s">
        <v>134</v>
      </c>
      <c r="F22" s="13" t="s">
        <v>137</v>
      </c>
      <c r="G22" s="13" t="s">
        <v>134</v>
      </c>
      <c r="H22" s="25" t="s">
        <v>137</v>
      </c>
    </row>
    <row r="23" spans="1:11" ht="13.35" customHeight="1">
      <c r="A23" s="84" t="s">
        <v>8</v>
      </c>
      <c r="B23" s="13" t="s">
        <v>134</v>
      </c>
      <c r="C23" s="172"/>
      <c r="D23" s="94"/>
      <c r="E23" s="172"/>
      <c r="F23" s="172"/>
      <c r="G23" s="172"/>
      <c r="H23" s="96"/>
    </row>
    <row r="24" spans="1:11" ht="13.35" customHeight="1">
      <c r="A24" s="15" t="s">
        <v>9</v>
      </c>
      <c r="B24" s="13" t="s">
        <v>35</v>
      </c>
      <c r="C24" s="18" t="s">
        <v>35</v>
      </c>
      <c r="D24" s="18" t="s">
        <v>72</v>
      </c>
      <c r="E24" s="18" t="s">
        <v>34</v>
      </c>
      <c r="F24" s="18" t="s">
        <v>35</v>
      </c>
      <c r="G24" s="18" t="s">
        <v>36</v>
      </c>
      <c r="H24" s="18" t="s">
        <v>34</v>
      </c>
    </row>
    <row r="25" spans="1:11" ht="13.35" customHeight="1">
      <c r="A25" s="15" t="s">
        <v>10</v>
      </c>
      <c r="B25" s="92"/>
      <c r="C25" s="172"/>
      <c r="D25" s="86"/>
      <c r="E25" s="109" t="s">
        <v>34</v>
      </c>
      <c r="F25" s="86"/>
      <c r="G25" s="86"/>
      <c r="H25" s="96"/>
    </row>
    <row r="26" spans="1:11" ht="13.35" customHeight="1">
      <c r="A26" s="22" t="s">
        <v>11</v>
      </c>
      <c r="B26" s="138"/>
      <c r="C26" s="336" t="s">
        <v>351</v>
      </c>
      <c r="D26" s="336" t="s">
        <v>352</v>
      </c>
      <c r="E26" s="336" t="s">
        <v>273</v>
      </c>
      <c r="F26" s="336" t="s">
        <v>24</v>
      </c>
      <c r="G26" s="336" t="s">
        <v>24</v>
      </c>
      <c r="H26" s="286"/>
      <c r="K26" s="4" t="s">
        <v>339</v>
      </c>
    </row>
    <row r="27" spans="1:11" ht="13.35" customHeight="1">
      <c r="A27" s="22"/>
      <c r="B27" s="138"/>
      <c r="C27" s="336" t="s">
        <v>275</v>
      </c>
      <c r="D27" s="105" t="s">
        <v>274</v>
      </c>
      <c r="E27" s="105" t="s">
        <v>25</v>
      </c>
      <c r="F27" s="105" t="s">
        <v>25</v>
      </c>
      <c r="G27" s="105" t="s">
        <v>25</v>
      </c>
      <c r="H27" s="309"/>
    </row>
    <row r="28" spans="1:11" ht="13.35" customHeight="1">
      <c r="A28" s="22"/>
      <c r="B28" s="138"/>
      <c r="C28" s="336" t="s">
        <v>277</v>
      </c>
      <c r="D28" s="336" t="s">
        <v>276</v>
      </c>
      <c r="E28" s="336" t="s">
        <v>26</v>
      </c>
      <c r="F28" s="336" t="s">
        <v>26</v>
      </c>
      <c r="G28" s="336" t="s">
        <v>26</v>
      </c>
      <c r="H28" s="309"/>
    </row>
    <row r="29" spans="1:11" ht="13.35" customHeight="1" thickBot="1">
      <c r="A29" s="291"/>
      <c r="B29" s="369"/>
      <c r="C29" s="319"/>
      <c r="D29" s="398" t="s">
        <v>340</v>
      </c>
      <c r="E29" s="398" t="s">
        <v>146</v>
      </c>
      <c r="F29" s="368" t="s">
        <v>146</v>
      </c>
      <c r="G29" s="362" t="s">
        <v>146</v>
      </c>
      <c r="H29" s="309"/>
    </row>
    <row r="30" spans="1:11" ht="12.75" customHeight="1">
      <c r="A30" s="22"/>
      <c r="B30" s="9">
        <v>28</v>
      </c>
      <c r="C30" s="9">
        <v>29</v>
      </c>
      <c r="D30" s="9">
        <v>30</v>
      </c>
      <c r="E30" s="10"/>
      <c r="F30" s="8"/>
      <c r="G30" s="8"/>
      <c r="H30" s="33"/>
    </row>
    <row r="31" spans="1:11" ht="13.35" customHeight="1">
      <c r="A31" s="11" t="s">
        <v>7</v>
      </c>
      <c r="B31" s="13" t="s">
        <v>137</v>
      </c>
      <c r="C31" s="13" t="s">
        <v>134</v>
      </c>
      <c r="D31" s="13" t="s">
        <v>136</v>
      </c>
      <c r="H31" s="34"/>
    </row>
    <row r="32" spans="1:11" ht="13.35" customHeight="1">
      <c r="A32" s="84" t="s">
        <v>8</v>
      </c>
      <c r="B32" s="13" t="s">
        <v>136</v>
      </c>
      <c r="C32" s="19"/>
      <c r="D32" s="19"/>
      <c r="H32" s="34"/>
    </row>
    <row r="33" spans="1:85" ht="13.35" customHeight="1">
      <c r="A33" s="15" t="s">
        <v>9</v>
      </c>
      <c r="B33" s="13" t="s">
        <v>34</v>
      </c>
      <c r="C33" s="13" t="s">
        <v>72</v>
      </c>
      <c r="D33" s="13" t="s">
        <v>36</v>
      </c>
      <c r="H33" s="34"/>
    </row>
    <row r="34" spans="1:85" ht="12.75" customHeight="1">
      <c r="A34" s="15" t="s">
        <v>10</v>
      </c>
      <c r="B34" s="92"/>
      <c r="C34" s="92"/>
      <c r="D34" s="92"/>
      <c r="H34" s="34"/>
    </row>
    <row r="35" spans="1:85" ht="12.75" customHeight="1">
      <c r="A35" s="22" t="s">
        <v>11</v>
      </c>
      <c r="B35" s="86"/>
      <c r="C35" s="105" t="s">
        <v>24</v>
      </c>
      <c r="D35" s="105" t="s">
        <v>24</v>
      </c>
      <c r="H35" s="34"/>
    </row>
    <row r="36" spans="1:85" ht="12.75" customHeight="1">
      <c r="A36" s="22"/>
      <c r="B36" s="86"/>
      <c r="C36" s="336" t="s">
        <v>25</v>
      </c>
      <c r="D36" s="336" t="s">
        <v>25</v>
      </c>
      <c r="H36" s="34"/>
    </row>
    <row r="37" spans="1:85" ht="12.75" customHeight="1">
      <c r="A37" s="22"/>
      <c r="B37" s="86"/>
      <c r="C37" s="336" t="s">
        <v>26</v>
      </c>
      <c r="D37" s="336" t="s">
        <v>26</v>
      </c>
      <c r="H37" s="34"/>
    </row>
    <row r="38" spans="1:85" ht="12.75" customHeight="1" thickBot="1">
      <c r="A38" s="291"/>
      <c r="B38" s="296"/>
      <c r="C38" s="362" t="s">
        <v>146</v>
      </c>
      <c r="D38" s="362" t="s">
        <v>146</v>
      </c>
      <c r="E38" s="383"/>
      <c r="F38" s="383"/>
      <c r="G38" s="321"/>
      <c r="H38" s="384"/>
    </row>
    <row r="39" spans="1:85">
      <c r="A39" s="37" t="s">
        <v>17</v>
      </c>
      <c r="C39" s="171"/>
      <c r="D39" s="171"/>
      <c r="E39" s="171"/>
      <c r="F39" s="171"/>
      <c r="G39" s="171"/>
      <c r="H39" s="396" t="s">
        <v>375</v>
      </c>
    </row>
    <row r="40" spans="1:85" ht="15" customHeight="1">
      <c r="A40" s="2" t="s">
        <v>22</v>
      </c>
      <c r="H40" s="163"/>
    </row>
    <row r="41" spans="1:85" s="164" customFormat="1" ht="15" customHeight="1">
      <c r="A41" s="2" t="s">
        <v>79</v>
      </c>
      <c r="B41" s="2"/>
      <c r="C41" s="2"/>
      <c r="D41" s="2"/>
      <c r="E41" s="2"/>
      <c r="F41" s="2"/>
      <c r="G41" s="40" t="s">
        <v>13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>
      <c r="A42" s="2" t="s">
        <v>28</v>
      </c>
    </row>
    <row r="43" spans="1:85" ht="15" customHeight="1">
      <c r="A43" s="2" t="s">
        <v>29</v>
      </c>
    </row>
    <row r="44" spans="1:85" ht="15" customHeight="1">
      <c r="A44" s="2" t="s">
        <v>127</v>
      </c>
    </row>
    <row r="45" spans="1:85" ht="12" customHeight="1">
      <c r="A45" s="39"/>
      <c r="I45" s="4"/>
    </row>
    <row r="46" spans="1:85" ht="12" customHeight="1">
      <c r="A46" s="178" t="s">
        <v>266</v>
      </c>
      <c r="B46" s="51"/>
      <c r="C46" s="51"/>
      <c r="D46" s="51"/>
      <c r="E46" s="51"/>
      <c r="F46" s="51"/>
      <c r="G46" s="51"/>
      <c r="H46" s="51"/>
      <c r="I46" s="3"/>
    </row>
    <row r="47" spans="1:85" ht="12" customHeight="1" thickBot="1">
      <c r="A47" s="51" t="s">
        <v>142</v>
      </c>
      <c r="B47" s="51"/>
      <c r="C47" s="51"/>
      <c r="D47" s="51"/>
      <c r="E47" s="51"/>
      <c r="F47" s="51"/>
      <c r="G47" s="51"/>
      <c r="H47" s="51"/>
      <c r="I47" s="3"/>
    </row>
    <row r="48" spans="1:85" ht="12" customHeight="1">
      <c r="A48" s="75" t="s">
        <v>14</v>
      </c>
      <c r="B48" s="81"/>
      <c r="C48" s="175" t="s">
        <v>1</v>
      </c>
      <c r="D48" s="175" t="s">
        <v>2</v>
      </c>
      <c r="E48" s="175" t="s">
        <v>3</v>
      </c>
      <c r="F48" s="175" t="s">
        <v>4</v>
      </c>
      <c r="G48" s="175" t="s">
        <v>5</v>
      </c>
      <c r="H48" s="51"/>
      <c r="I48" s="3"/>
    </row>
    <row r="49" spans="1:16" ht="12" customHeight="1">
      <c r="A49" s="75"/>
      <c r="B49" s="173" t="s">
        <v>32</v>
      </c>
      <c r="C49" s="59" t="s">
        <v>205</v>
      </c>
      <c r="D49" s="174"/>
      <c r="E49" s="174"/>
      <c r="F49" s="174"/>
      <c r="G49" s="174"/>
      <c r="H49" s="51"/>
      <c r="I49" s="3"/>
    </row>
    <row r="50" spans="1:16" ht="12" customHeight="1">
      <c r="A50" s="39"/>
      <c r="B50" s="173" t="s">
        <v>15</v>
      </c>
      <c r="C50" s="170"/>
      <c r="D50" s="170"/>
      <c r="E50" s="170" t="s">
        <v>137</v>
      </c>
      <c r="F50" s="170"/>
      <c r="G50" s="170" t="s">
        <v>134</v>
      </c>
      <c r="I50" s="4"/>
    </row>
    <row r="51" spans="1:16" ht="15">
      <c r="A51" s="39"/>
      <c r="B51" s="231"/>
      <c r="C51" s="233"/>
      <c r="D51" s="233"/>
      <c r="E51" s="233"/>
      <c r="F51" s="233"/>
      <c r="G51" s="233" t="s">
        <v>136</v>
      </c>
      <c r="I51" s="4"/>
    </row>
    <row r="53" spans="1:16" ht="15">
      <c r="A53"/>
      <c r="B53" s="370" t="s">
        <v>53</v>
      </c>
      <c r="C53" s="370" t="s">
        <v>341</v>
      </c>
      <c r="D53" s="370" t="s">
        <v>342</v>
      </c>
      <c r="E53" s="370" t="s">
        <v>58</v>
      </c>
      <c r="F53" s="370" t="s">
        <v>341</v>
      </c>
      <c r="G53" s="370" t="s">
        <v>52</v>
      </c>
      <c r="H53" s="370" t="s">
        <v>74</v>
      </c>
      <c r="I53" s="370" t="s">
        <v>341</v>
      </c>
      <c r="J53" s="370" t="s">
        <v>52</v>
      </c>
      <c r="K53" s="370" t="s">
        <v>54</v>
      </c>
      <c r="L53" s="370" t="s">
        <v>341</v>
      </c>
      <c r="M53" s="370" t="s">
        <v>52</v>
      </c>
      <c r="N53" s="105"/>
      <c r="O53"/>
      <c r="P53"/>
    </row>
    <row r="54" spans="1:16" ht="15">
      <c r="A54" s="371" t="s">
        <v>73</v>
      </c>
      <c r="B54" s="181">
        <v>12</v>
      </c>
      <c r="C54" s="181">
        <f>COUNTIF(C4:F20,"Sears")</f>
        <v>1</v>
      </c>
      <c r="D54" s="181">
        <f>SUM(B54:C54)</f>
        <v>13</v>
      </c>
      <c r="E54" s="4">
        <v>4</v>
      </c>
      <c r="F54" s="181">
        <v>0</v>
      </c>
      <c r="G54" s="4">
        <f>SUM(E54:F54)</f>
        <v>4</v>
      </c>
      <c r="H54" s="4">
        <v>3</v>
      </c>
      <c r="I54" s="181">
        <f>COUNTIF(G4:G24,"Sears")</f>
        <v>0</v>
      </c>
      <c r="J54" s="229">
        <f>SUM(H54:I54)</f>
        <v>3</v>
      </c>
      <c r="K54" s="181">
        <v>2</v>
      </c>
      <c r="L54" s="181">
        <v>1</v>
      </c>
      <c r="M54" s="181">
        <f>SUM(K54:L54)</f>
        <v>3</v>
      </c>
      <c r="N54">
        <f>SUM(D54,G54,J54,M54)</f>
        <v>23</v>
      </c>
      <c r="O54"/>
      <c r="P54" s="4"/>
    </row>
    <row r="55" spans="1:16" ht="15">
      <c r="A55" s="371" t="s">
        <v>48</v>
      </c>
      <c r="B55" s="181">
        <v>10</v>
      </c>
      <c r="C55" s="181">
        <f>COUNTIF(C4:F20,"Thompson")</f>
        <v>2</v>
      </c>
      <c r="D55" s="181">
        <f t="shared" ref="D55:D61" si="0">SUM(B55:C55)</f>
        <v>12</v>
      </c>
      <c r="E55" s="4">
        <v>3</v>
      </c>
      <c r="F55" s="181"/>
      <c r="G55" s="4">
        <f t="shared" ref="G55:G61" si="1">SUM(E55:F55)</f>
        <v>3</v>
      </c>
      <c r="H55" s="4">
        <v>3</v>
      </c>
      <c r="I55" s="181">
        <f>COUNTIF(G4:G24,"Thompson")</f>
        <v>0</v>
      </c>
      <c r="J55" s="4">
        <f t="shared" ref="J55:J61" si="2">SUM(H55:I55)</f>
        <v>3</v>
      </c>
      <c r="K55" s="181">
        <v>2</v>
      </c>
      <c r="L55" s="181">
        <v>1</v>
      </c>
      <c r="M55" s="181">
        <f t="shared" ref="M55:M61" si="3">SUM(K55:L55)</f>
        <v>3</v>
      </c>
      <c r="N55">
        <f t="shared" ref="N55:N61" si="4">SUM(D55,G55,J55,M55)</f>
        <v>21</v>
      </c>
      <c r="O55"/>
      <c r="P55" s="4"/>
    </row>
    <row r="56" spans="1:16" ht="15">
      <c r="A56" s="371" t="s">
        <v>49</v>
      </c>
      <c r="B56" s="181">
        <v>11</v>
      </c>
      <c r="C56" s="181">
        <f>COUNTIF(C4:F20,"Miller")</f>
        <v>1</v>
      </c>
      <c r="D56" s="181">
        <f t="shared" si="0"/>
        <v>12</v>
      </c>
      <c r="E56" s="4">
        <v>2</v>
      </c>
      <c r="F56" s="181"/>
      <c r="G56" s="229">
        <f t="shared" si="1"/>
        <v>2</v>
      </c>
      <c r="H56" s="4">
        <v>4</v>
      </c>
      <c r="I56" s="181">
        <f>COUNTIF(G4:G24,"Miller")</f>
        <v>1</v>
      </c>
      <c r="J56" s="4">
        <f t="shared" si="2"/>
        <v>5</v>
      </c>
      <c r="K56" s="181">
        <v>3</v>
      </c>
      <c r="L56" s="181"/>
      <c r="M56" s="181">
        <f t="shared" si="3"/>
        <v>3</v>
      </c>
      <c r="N56">
        <f t="shared" si="4"/>
        <v>22</v>
      </c>
      <c r="O56"/>
      <c r="P56" s="4"/>
    </row>
    <row r="57" spans="1:16" ht="15">
      <c r="A57" s="371" t="s">
        <v>50</v>
      </c>
      <c r="B57" s="181">
        <v>10</v>
      </c>
      <c r="C57" s="181">
        <f>COUNTIF(C4:F20,"Philbrick")-1</f>
        <v>1</v>
      </c>
      <c r="D57" s="379">
        <f t="shared" si="0"/>
        <v>11</v>
      </c>
      <c r="E57" s="4">
        <v>3</v>
      </c>
      <c r="F57" s="181">
        <v>1</v>
      </c>
      <c r="G57" s="4">
        <f t="shared" si="1"/>
        <v>4</v>
      </c>
      <c r="H57" s="4">
        <v>2</v>
      </c>
      <c r="I57" s="181">
        <f>COUNTIF(G4:G24,"Philbrick")-1</f>
        <v>0</v>
      </c>
      <c r="J57" s="4">
        <f t="shared" si="2"/>
        <v>2</v>
      </c>
      <c r="K57" s="181">
        <v>4</v>
      </c>
      <c r="L57" s="181"/>
      <c r="M57" s="379">
        <f t="shared" si="3"/>
        <v>4</v>
      </c>
      <c r="N57">
        <f t="shared" si="4"/>
        <v>21</v>
      </c>
      <c r="O57"/>
      <c r="P57" s="4"/>
    </row>
    <row r="58" spans="1:16" ht="15">
      <c r="A58" s="371" t="s">
        <v>311</v>
      </c>
      <c r="B58" s="181">
        <v>9</v>
      </c>
      <c r="C58" s="4">
        <f>COUNTIF(C4:F31,"Jones")</f>
        <v>3</v>
      </c>
      <c r="D58" s="181">
        <f t="shared" si="0"/>
        <v>12</v>
      </c>
      <c r="E58" s="4">
        <v>3</v>
      </c>
      <c r="F58" s="4">
        <v>1</v>
      </c>
      <c r="G58" s="4">
        <f t="shared" si="1"/>
        <v>4</v>
      </c>
      <c r="H58" s="4">
        <v>3</v>
      </c>
      <c r="I58" s="4">
        <f>COUNTIF(G4:G22,"Jones")</f>
        <v>1</v>
      </c>
      <c r="J58" s="4">
        <f t="shared" si="2"/>
        <v>4</v>
      </c>
      <c r="K58" s="181">
        <v>2</v>
      </c>
      <c r="L58" s="181">
        <v>1</v>
      </c>
      <c r="M58" s="181">
        <f t="shared" si="3"/>
        <v>3</v>
      </c>
      <c r="N58">
        <f t="shared" si="4"/>
        <v>23</v>
      </c>
      <c r="O58"/>
      <c r="P58" s="4"/>
    </row>
    <row r="59" spans="1:16" ht="15">
      <c r="A59" s="371" t="s">
        <v>312</v>
      </c>
      <c r="B59" s="181">
        <v>10</v>
      </c>
      <c r="C59" s="4">
        <f>COUNTIF(C4:F31,"Moezzi")-1</f>
        <v>3</v>
      </c>
      <c r="D59" s="181">
        <f t="shared" si="0"/>
        <v>13</v>
      </c>
      <c r="E59" s="4">
        <v>3</v>
      </c>
      <c r="F59" s="4">
        <v>1</v>
      </c>
      <c r="G59" s="4">
        <f t="shared" si="1"/>
        <v>4</v>
      </c>
      <c r="H59" s="4">
        <v>3</v>
      </c>
      <c r="I59" s="4">
        <f>COUNTIF(G4:G22,"Moezzi")</f>
        <v>1</v>
      </c>
      <c r="J59" s="4">
        <f t="shared" si="2"/>
        <v>4</v>
      </c>
      <c r="K59" s="181">
        <v>3</v>
      </c>
      <c r="L59" s="181"/>
      <c r="M59" s="181">
        <f t="shared" si="3"/>
        <v>3</v>
      </c>
      <c r="N59">
        <f t="shared" si="4"/>
        <v>24</v>
      </c>
      <c r="O59"/>
      <c r="P59" s="4"/>
    </row>
    <row r="60" spans="1:16" ht="15">
      <c r="A60" s="371" t="s">
        <v>313</v>
      </c>
      <c r="B60" s="181">
        <v>12</v>
      </c>
      <c r="C60" s="4">
        <f>COUNTIF(C4:F31,"Tung")</f>
        <v>0</v>
      </c>
      <c r="D60" s="379">
        <f t="shared" si="0"/>
        <v>12</v>
      </c>
      <c r="E60" s="4">
        <v>3</v>
      </c>
      <c r="F60" s="4">
        <v>0</v>
      </c>
      <c r="G60" s="4">
        <f t="shared" si="1"/>
        <v>3</v>
      </c>
      <c r="H60" s="4">
        <v>3</v>
      </c>
      <c r="I60" s="4">
        <f>COUNTIF(G4:G22,"Tung")</f>
        <v>0</v>
      </c>
      <c r="J60" s="4">
        <f t="shared" si="2"/>
        <v>3</v>
      </c>
      <c r="K60" s="181">
        <v>4</v>
      </c>
      <c r="L60" s="181"/>
      <c r="M60" s="379">
        <f t="shared" si="3"/>
        <v>4</v>
      </c>
      <c r="N60">
        <f t="shared" si="4"/>
        <v>22</v>
      </c>
      <c r="O60"/>
      <c r="P60" s="4"/>
    </row>
    <row r="61" spans="1:16" ht="15.75" thickBot="1">
      <c r="A61" s="371" t="s">
        <v>314</v>
      </c>
      <c r="B61" s="181">
        <v>9</v>
      </c>
      <c r="C61" s="4">
        <f>COUNTIF(C4:F31,"Wen")</f>
        <v>4</v>
      </c>
      <c r="D61" s="181">
        <f t="shared" si="0"/>
        <v>13</v>
      </c>
      <c r="E61" s="4">
        <v>2</v>
      </c>
      <c r="F61" s="4">
        <v>2</v>
      </c>
      <c r="G61" s="4">
        <f t="shared" si="1"/>
        <v>4</v>
      </c>
      <c r="H61" s="4">
        <v>2</v>
      </c>
      <c r="I61" s="4">
        <f>COUNTIF(G4:G22,"Wen")</f>
        <v>1</v>
      </c>
      <c r="J61" s="4">
        <f t="shared" si="2"/>
        <v>3</v>
      </c>
      <c r="K61" s="181">
        <v>2</v>
      </c>
      <c r="L61" s="181">
        <v>1</v>
      </c>
      <c r="M61" s="181">
        <f t="shared" si="3"/>
        <v>3</v>
      </c>
      <c r="N61">
        <f t="shared" si="4"/>
        <v>23</v>
      </c>
      <c r="O61"/>
      <c r="P61" s="4"/>
    </row>
    <row r="62" spans="1:16" ht="15.75" thickBot="1">
      <c r="A62" s="185"/>
      <c r="B62" s="370">
        <f t="shared" ref="B62:M62" si="5">SUM(B54:B61)</f>
        <v>83</v>
      </c>
      <c r="C62" s="372">
        <f t="shared" si="5"/>
        <v>15</v>
      </c>
      <c r="D62" s="370">
        <f t="shared" si="5"/>
        <v>98</v>
      </c>
      <c r="E62" s="370">
        <f t="shared" si="5"/>
        <v>23</v>
      </c>
      <c r="F62" s="372">
        <f t="shared" si="5"/>
        <v>5</v>
      </c>
      <c r="G62" s="370">
        <f t="shared" si="5"/>
        <v>28</v>
      </c>
      <c r="H62" s="370">
        <v>22</v>
      </c>
      <c r="I62" s="372">
        <f t="shared" si="5"/>
        <v>4</v>
      </c>
      <c r="J62" s="370">
        <f t="shared" si="5"/>
        <v>27</v>
      </c>
      <c r="K62" s="370">
        <f t="shared" si="5"/>
        <v>22</v>
      </c>
      <c r="L62" s="372">
        <f t="shared" si="5"/>
        <v>4</v>
      </c>
      <c r="M62" s="370">
        <f t="shared" si="5"/>
        <v>26</v>
      </c>
      <c r="N62"/>
      <c r="O62" s="4" t="s">
        <v>343</v>
      </c>
      <c r="P62" s="373">
        <f>SUM(C62,F62,I62,L62)</f>
        <v>28</v>
      </c>
    </row>
    <row r="63" spans="1:16" ht="15">
      <c r="A63" s="185"/>
      <c r="B63" s="181"/>
      <c r="C63" s="181"/>
      <c r="D63" s="181"/>
      <c r="E63"/>
      <c r="F63"/>
      <c r="G63"/>
      <c r="H63" s="181"/>
      <c r="I63" s="181"/>
      <c r="J63" s="181"/>
      <c r="K63"/>
      <c r="L63"/>
      <c r="M63"/>
      <c r="N63"/>
      <c r="O63"/>
      <c r="P63"/>
    </row>
    <row r="64" spans="1:16" ht="15">
      <c r="A64" s="185"/>
      <c r="B64" s="374" t="s">
        <v>53</v>
      </c>
      <c r="C64" s="375" t="s">
        <v>341</v>
      </c>
      <c r="D64" s="374" t="s">
        <v>52</v>
      </c>
      <c r="E64"/>
      <c r="F64"/>
      <c r="G64"/>
      <c r="H64" s="374" t="s">
        <v>54</v>
      </c>
      <c r="I64" s="375" t="s">
        <v>341</v>
      </c>
      <c r="J64" s="374" t="s">
        <v>52</v>
      </c>
      <c r="K64"/>
      <c r="L64"/>
      <c r="M64"/>
      <c r="N64"/>
      <c r="O64"/>
      <c r="P64"/>
    </row>
    <row r="65" spans="1:16" ht="15">
      <c r="A65" s="371" t="s">
        <v>44</v>
      </c>
      <c r="B65" s="181">
        <v>26</v>
      </c>
      <c r="C65" s="181">
        <f>COUNTIF(C6:G18,"Dieu")</f>
        <v>4</v>
      </c>
      <c r="D65" s="181">
        <f>SUM(B65:C65)</f>
        <v>30</v>
      </c>
      <c r="E65"/>
      <c r="F65"/>
      <c r="G65"/>
      <c r="H65" s="181">
        <v>5</v>
      </c>
      <c r="I65" s="181">
        <v>1</v>
      </c>
      <c r="J65" s="181">
        <f>SUM(H65:I65)</f>
        <v>6</v>
      </c>
      <c r="K65"/>
      <c r="L65"/>
      <c r="M65"/>
      <c r="N65"/>
      <c r="O65"/>
      <c r="P65"/>
    </row>
    <row r="66" spans="1:16" ht="15">
      <c r="A66" s="371" t="s">
        <v>45</v>
      </c>
      <c r="B66" s="181">
        <v>26</v>
      </c>
      <c r="C66" s="181">
        <f>COUNTIF(C6:G18,"Huynh")</f>
        <v>4</v>
      </c>
      <c r="D66" s="181">
        <f>SUM(B66:C66)</f>
        <v>30</v>
      </c>
      <c r="E66"/>
      <c r="F66"/>
      <c r="G66"/>
      <c r="H66" s="181">
        <v>6</v>
      </c>
      <c r="I66" s="181">
        <v>1</v>
      </c>
      <c r="J66" s="181">
        <f t="shared" ref="J66:J68" si="6">SUM(H66:I66)</f>
        <v>7</v>
      </c>
      <c r="K66" t="s">
        <v>344</v>
      </c>
      <c r="L66"/>
      <c r="M66"/>
      <c r="N66"/>
      <c r="O66"/>
      <c r="P66"/>
    </row>
    <row r="67" spans="1:16" ht="15">
      <c r="A67" s="371" t="s">
        <v>46</v>
      </c>
      <c r="B67" s="181">
        <v>27</v>
      </c>
      <c r="C67" s="2">
        <f>COUNTIF(C6:G18,"Mathew")</f>
        <v>3</v>
      </c>
      <c r="D67" s="181">
        <f t="shared" ref="D67:D68" si="7">SUM(B67:C67)</f>
        <v>30</v>
      </c>
      <c r="E67"/>
      <c r="F67"/>
      <c r="G67"/>
      <c r="H67" s="181">
        <v>5</v>
      </c>
      <c r="I67" s="181"/>
      <c r="J67" s="181">
        <f t="shared" si="6"/>
        <v>5</v>
      </c>
      <c r="K67"/>
      <c r="L67"/>
      <c r="M67"/>
      <c r="N67"/>
      <c r="O67"/>
      <c r="P67"/>
    </row>
    <row r="68" spans="1:16" ht="15">
      <c r="A68" s="371" t="s">
        <v>47</v>
      </c>
      <c r="B68" s="181">
        <v>26</v>
      </c>
      <c r="C68" s="181">
        <f>COUNTIF(C6:G18,"Noh")</f>
        <v>4</v>
      </c>
      <c r="D68" s="181">
        <f t="shared" si="7"/>
        <v>30</v>
      </c>
      <c r="E68"/>
      <c r="F68"/>
      <c r="G68"/>
      <c r="H68" s="4">
        <v>6</v>
      </c>
      <c r="I68" s="4"/>
      <c r="J68" s="181">
        <f t="shared" si="6"/>
        <v>6</v>
      </c>
      <c r="K68"/>
      <c r="L68"/>
      <c r="M68"/>
      <c r="N68"/>
      <c r="O68"/>
      <c r="P68"/>
    </row>
    <row r="70" spans="1:16">
      <c r="A70" s="371" t="s">
        <v>73</v>
      </c>
    </row>
    <row r="71" spans="1:16">
      <c r="A71" s="371" t="s">
        <v>48</v>
      </c>
    </row>
    <row r="72" spans="1:16">
      <c r="A72" s="371" t="s">
        <v>49</v>
      </c>
    </row>
    <row r="73" spans="1:16">
      <c r="A73" s="371" t="s">
        <v>50</v>
      </c>
    </row>
    <row r="75" spans="1:16" ht="15">
      <c r="A75"/>
      <c r="B75" s="4" t="s">
        <v>60</v>
      </c>
      <c r="C75" s="4" t="s">
        <v>61</v>
      </c>
      <c r="D75"/>
      <c r="E75"/>
      <c r="F75" s="370" t="s">
        <v>63</v>
      </c>
      <c r="G75" s="370" t="s">
        <v>341</v>
      </c>
      <c r="H75" s="4" t="s">
        <v>52</v>
      </c>
    </row>
    <row r="76" spans="1:16" ht="15">
      <c r="A76" s="181" t="s">
        <v>73</v>
      </c>
      <c r="B76"/>
      <c r="C76"/>
      <c r="D76"/>
      <c r="E76" s="181" t="s">
        <v>73</v>
      </c>
      <c r="F76" s="4">
        <v>2</v>
      </c>
      <c r="G76" s="4"/>
      <c r="H76">
        <f>SUM(F76:G76)</f>
        <v>2</v>
      </c>
    </row>
    <row r="77" spans="1:16" ht="15">
      <c r="A77" s="181" t="s">
        <v>48</v>
      </c>
      <c r="B77">
        <v>1</v>
      </c>
      <c r="C77"/>
      <c r="D77"/>
      <c r="E77" s="181" t="s">
        <v>48</v>
      </c>
      <c r="F77" s="4">
        <v>2</v>
      </c>
      <c r="G77" s="4"/>
      <c r="H77">
        <f t="shared" ref="H77:H83" si="8">SUM(F77:G77)</f>
        <v>2</v>
      </c>
    </row>
    <row r="78" spans="1:16" ht="15">
      <c r="A78" s="181" t="s">
        <v>49</v>
      </c>
      <c r="B78">
        <v>1</v>
      </c>
      <c r="C78"/>
      <c r="D78"/>
      <c r="E78" s="181" t="s">
        <v>49</v>
      </c>
      <c r="F78" s="4">
        <v>2</v>
      </c>
      <c r="G78" s="4"/>
      <c r="H78">
        <f t="shared" si="8"/>
        <v>2</v>
      </c>
    </row>
    <row r="79" spans="1:16" ht="15">
      <c r="A79" s="181" t="s">
        <v>50</v>
      </c>
      <c r="B79"/>
      <c r="C79"/>
      <c r="D79"/>
      <c r="E79" s="181" t="s">
        <v>50</v>
      </c>
      <c r="F79" s="4">
        <v>1</v>
      </c>
      <c r="G79" s="4">
        <v>1</v>
      </c>
      <c r="H79">
        <f t="shared" si="8"/>
        <v>2</v>
      </c>
    </row>
    <row r="80" spans="1:16" ht="15">
      <c r="A80" s="181" t="s">
        <v>311</v>
      </c>
      <c r="B80"/>
      <c r="C80"/>
      <c r="D80"/>
      <c r="E80" s="181" t="s">
        <v>311</v>
      </c>
      <c r="F80" s="4">
        <v>2</v>
      </c>
      <c r="G80" s="4"/>
      <c r="H80">
        <f t="shared" si="8"/>
        <v>2</v>
      </c>
    </row>
    <row r="81" spans="1:8" ht="15">
      <c r="A81" s="181" t="s">
        <v>312</v>
      </c>
      <c r="B81"/>
      <c r="C81"/>
      <c r="D81"/>
      <c r="E81" s="181" t="s">
        <v>312</v>
      </c>
      <c r="F81" s="4">
        <v>2</v>
      </c>
      <c r="G81" s="4">
        <v>1</v>
      </c>
      <c r="H81">
        <f t="shared" si="8"/>
        <v>3</v>
      </c>
    </row>
    <row r="82" spans="1:8" ht="15">
      <c r="A82" s="181" t="s">
        <v>313</v>
      </c>
      <c r="B82"/>
      <c r="C82"/>
      <c r="D82"/>
      <c r="E82" s="181" t="s">
        <v>313</v>
      </c>
      <c r="F82" s="4">
        <v>2</v>
      </c>
      <c r="G82" s="4"/>
      <c r="H82">
        <f t="shared" si="8"/>
        <v>2</v>
      </c>
    </row>
    <row r="83" spans="1:8" ht="15">
      <c r="A83" s="181" t="s">
        <v>314</v>
      </c>
      <c r="B83" s="4"/>
      <c r="C83"/>
      <c r="D83"/>
      <c r="E83" s="181" t="s">
        <v>314</v>
      </c>
      <c r="F83" s="4">
        <v>2</v>
      </c>
      <c r="G83" s="4"/>
      <c r="H83">
        <f t="shared" si="8"/>
        <v>2</v>
      </c>
    </row>
    <row r="84" spans="1:8" ht="15">
      <c r="A84" s="181" t="s">
        <v>44</v>
      </c>
      <c r="B84">
        <v>1</v>
      </c>
      <c r="C84" s="4"/>
      <c r="D84"/>
      <c r="E84"/>
      <c r="F84"/>
      <c r="G84"/>
    </row>
    <row r="85" spans="1:8" ht="15">
      <c r="A85" s="181" t="s">
        <v>45</v>
      </c>
      <c r="B85" s="4"/>
      <c r="C85"/>
      <c r="D85"/>
      <c r="E85"/>
      <c r="F85"/>
      <c r="G85"/>
    </row>
    <row r="86" spans="1:8" ht="15">
      <c r="A86" s="181" t="s">
        <v>46</v>
      </c>
      <c r="B86">
        <v>1</v>
      </c>
      <c r="C86"/>
      <c r="D86"/>
      <c r="E86"/>
      <c r="F86"/>
      <c r="G86"/>
    </row>
    <row r="87" spans="1:8" ht="15">
      <c r="A87" s="181" t="s">
        <v>47</v>
      </c>
      <c r="B87"/>
      <c r="C87"/>
      <c r="D87"/>
      <c r="E87"/>
      <c r="F87"/>
      <c r="G87"/>
    </row>
  </sheetData>
  <mergeCells count="1">
    <mergeCell ref="B1:H1"/>
  </mergeCells>
  <pageMargins left="0.3" right="0.25" top="0.6" bottom="0.25" header="0.3" footer="0.3"/>
  <pageSetup scale="86" orientation="landscape" r:id="rId1"/>
  <headerFooter>
    <oddHeader>&amp;C&amp;"Times New Roman,Bold"Ophthalmology Resident Call/Rounds Presentation/Vacation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5"/>
  <sheetViews>
    <sheetView zoomScale="88" zoomScaleNormal="88" zoomScalePageLayoutView="150" workbookViewId="0">
      <pane xSplit="1" topLeftCell="B1" activePane="topRight" state="frozen"/>
      <selection activeCell="A11" sqref="A11"/>
      <selection pane="topRight"/>
    </sheetView>
  </sheetViews>
  <sheetFormatPr defaultColWidth="8.7109375" defaultRowHeight="12"/>
  <cols>
    <col min="1" max="1" width="16.140625" style="39" bestFit="1" customWidth="1"/>
    <col min="2" max="8" width="18.7109375" style="2" customWidth="1"/>
    <col min="9" max="9" width="8.7109375" style="4" customWidth="1"/>
    <col min="10" max="24" width="8.7109375" style="3"/>
    <col min="25" max="16384" width="8.7109375" style="2"/>
  </cols>
  <sheetData>
    <row r="1" spans="1:24" ht="16.5" thickBot="1">
      <c r="A1" s="42"/>
      <c r="B1" s="405" t="s">
        <v>89</v>
      </c>
      <c r="C1" s="406"/>
      <c r="D1" s="406"/>
      <c r="E1" s="406"/>
      <c r="F1" s="406"/>
      <c r="G1" s="406"/>
      <c r="H1" s="406"/>
      <c r="I1" s="3"/>
      <c r="J1" s="3" t="s">
        <v>150</v>
      </c>
      <c r="K1" s="3" t="s">
        <v>67</v>
      </c>
      <c r="L1" s="3" t="s">
        <v>158</v>
      </c>
      <c r="M1" s="3" t="s">
        <v>153</v>
      </c>
      <c r="O1" s="3" t="s">
        <v>183</v>
      </c>
      <c r="P1" s="3" t="s">
        <v>57</v>
      </c>
      <c r="Q1" s="3" t="s">
        <v>184</v>
      </c>
      <c r="R1" s="3" t="s">
        <v>185</v>
      </c>
      <c r="T1" s="3" t="s">
        <v>188</v>
      </c>
    </row>
    <row r="2" spans="1:24" ht="12.75" thickBot="1">
      <c r="A2" s="43"/>
      <c r="B2" s="44" t="s">
        <v>0</v>
      </c>
      <c r="C2" s="44" t="s">
        <v>1</v>
      </c>
      <c r="D2" s="44" t="s">
        <v>2</v>
      </c>
      <c r="E2" s="44" t="s">
        <v>3</v>
      </c>
      <c r="F2" s="44" t="s">
        <v>4</v>
      </c>
      <c r="G2" s="44" t="s">
        <v>16</v>
      </c>
      <c r="H2" s="44" t="s">
        <v>6</v>
      </c>
      <c r="I2" s="3"/>
      <c r="J2" s="3" t="s">
        <v>137</v>
      </c>
      <c r="K2" s="3" t="s">
        <v>164</v>
      </c>
      <c r="L2" s="3" t="s">
        <v>167</v>
      </c>
      <c r="M2" s="3" t="s">
        <v>69</v>
      </c>
      <c r="O2" s="3">
        <f>COUNTIF(C4:G46, "Jones")+1</f>
        <v>2</v>
      </c>
      <c r="P2" s="3">
        <f>COUNTIF(H4:H46, "Jones")</f>
        <v>1</v>
      </c>
      <c r="Q2" s="3">
        <f>O2</f>
        <v>2</v>
      </c>
      <c r="R2" s="3">
        <f t="shared" ref="R2:R5" si="0">P2</f>
        <v>1</v>
      </c>
      <c r="T2" s="3">
        <f>SUM(O2:P10)</f>
        <v>29</v>
      </c>
    </row>
    <row r="3" spans="1:24" ht="13.35" customHeight="1">
      <c r="A3" s="45"/>
      <c r="B3" s="46"/>
      <c r="C3" s="32"/>
      <c r="D3" s="32"/>
      <c r="E3" s="32"/>
      <c r="F3" s="47"/>
      <c r="G3" s="24">
        <v>1</v>
      </c>
      <c r="H3" s="24">
        <v>2</v>
      </c>
      <c r="I3" s="3"/>
      <c r="J3" s="3" t="s">
        <v>134</v>
      </c>
      <c r="K3" s="3" t="s">
        <v>156</v>
      </c>
      <c r="L3" s="3" t="s">
        <v>171</v>
      </c>
      <c r="M3" s="3" t="s">
        <v>160</v>
      </c>
      <c r="O3" s="3">
        <f>COUNTIF(C4:G46, "Moezzi") -5</f>
        <v>3</v>
      </c>
      <c r="P3" s="3">
        <f>COUNTIF(H4:H47, "Moezzi")</f>
        <v>1</v>
      </c>
      <c r="Q3" s="3">
        <f t="shared" ref="Q3:Q5" si="1">O3</f>
        <v>3</v>
      </c>
      <c r="R3" s="3">
        <f t="shared" si="0"/>
        <v>1</v>
      </c>
    </row>
    <row r="4" spans="1:24" s="51" customFormat="1" ht="13.35" customHeight="1">
      <c r="A4" s="48" t="s">
        <v>7</v>
      </c>
      <c r="B4" s="35"/>
      <c r="F4" s="49"/>
      <c r="G4" s="50" t="s">
        <v>134</v>
      </c>
      <c r="H4" s="355" t="s">
        <v>135</v>
      </c>
      <c r="I4" s="52"/>
      <c r="J4" s="3" t="s">
        <v>135</v>
      </c>
      <c r="K4" s="3" t="s">
        <v>157</v>
      </c>
      <c r="L4" s="3" t="s">
        <v>69</v>
      </c>
      <c r="M4" s="3" t="s">
        <v>175</v>
      </c>
      <c r="N4" s="3"/>
      <c r="O4" s="3">
        <f>COUNTIF(C4:G46, "Tung") - 5</f>
        <v>3</v>
      </c>
      <c r="P4" s="3">
        <f>COUNTIF(H4:H46, "Tung")</f>
        <v>1</v>
      </c>
      <c r="Q4" s="3">
        <f t="shared" si="1"/>
        <v>3</v>
      </c>
      <c r="R4" s="3">
        <f t="shared" si="0"/>
        <v>1</v>
      </c>
      <c r="S4" s="52"/>
      <c r="T4" s="52"/>
      <c r="U4" s="52"/>
      <c r="V4" s="52"/>
      <c r="W4" s="52"/>
      <c r="X4" s="52"/>
    </row>
    <row r="5" spans="1:24" ht="13.35" customHeight="1">
      <c r="A5" s="53" t="s">
        <v>8</v>
      </c>
      <c r="B5" s="35"/>
      <c r="C5" s="51"/>
      <c r="D5" s="51"/>
      <c r="E5" s="51"/>
      <c r="F5" s="49"/>
      <c r="G5" s="56"/>
      <c r="H5" s="56"/>
      <c r="I5" s="3"/>
      <c r="J5" s="3" t="s">
        <v>136</v>
      </c>
      <c r="K5" s="3" t="s">
        <v>155</v>
      </c>
      <c r="L5" s="3" t="s">
        <v>167</v>
      </c>
      <c r="M5" s="3" t="s">
        <v>69</v>
      </c>
      <c r="O5" s="3">
        <f>COUNTIF(C4:G46, "Wen")+1</f>
        <v>5</v>
      </c>
      <c r="P5" s="3">
        <f>COUNTIF(H4:H46, "Wen")</f>
        <v>1</v>
      </c>
      <c r="Q5" s="3">
        <f t="shared" si="1"/>
        <v>5</v>
      </c>
      <c r="R5" s="3">
        <f t="shared" si="0"/>
        <v>1</v>
      </c>
    </row>
    <row r="6" spans="1:24" ht="13.35" customHeight="1">
      <c r="A6" s="54" t="s">
        <v>9</v>
      </c>
      <c r="B6" s="35"/>
      <c r="C6" s="193"/>
      <c r="D6" s="193"/>
      <c r="E6" s="193"/>
      <c r="F6" s="194"/>
      <c r="G6" s="13" t="s">
        <v>24</v>
      </c>
      <c r="H6" s="13" t="s">
        <v>24</v>
      </c>
      <c r="I6" s="3"/>
      <c r="J6" s="3" t="s">
        <v>151</v>
      </c>
      <c r="K6" s="3" t="s">
        <v>67</v>
      </c>
    </row>
    <row r="7" spans="1:24" ht="13.35" customHeight="1">
      <c r="A7" s="54" t="s">
        <v>10</v>
      </c>
      <c r="B7" s="35"/>
      <c r="C7" s="193"/>
      <c r="D7" s="193"/>
      <c r="E7" s="193"/>
      <c r="F7" s="194"/>
      <c r="G7" s="196"/>
      <c r="H7" s="196"/>
      <c r="I7" s="3"/>
      <c r="J7" s="3" t="s">
        <v>35</v>
      </c>
      <c r="K7" s="3" t="s">
        <v>154</v>
      </c>
      <c r="L7" s="3" t="s">
        <v>172</v>
      </c>
      <c r="M7" s="3" t="s">
        <v>159</v>
      </c>
      <c r="O7" s="3">
        <f>COUNTIF(C3:G46, "Miller") +2-5</f>
        <v>4</v>
      </c>
      <c r="P7" s="3">
        <f>COUNTIF(H3:H51, "Miller")</f>
        <v>0</v>
      </c>
      <c r="Q7" s="3">
        <f>O7+'July 2025'!AB7</f>
        <v>4</v>
      </c>
      <c r="R7" s="3">
        <f>P7+'July 2025'!AC7</f>
        <v>0</v>
      </c>
    </row>
    <row r="8" spans="1:24" ht="13.35" customHeight="1">
      <c r="A8" s="45" t="s">
        <v>11</v>
      </c>
      <c r="B8" s="192"/>
      <c r="C8" s="193"/>
      <c r="D8" s="4"/>
      <c r="E8" s="4"/>
      <c r="F8" s="112"/>
      <c r="G8" s="110" t="s">
        <v>220</v>
      </c>
      <c r="H8" s="197"/>
      <c r="I8" s="3"/>
      <c r="J8" s="3" t="s">
        <v>36</v>
      </c>
      <c r="K8" s="3" t="s">
        <v>162</v>
      </c>
      <c r="O8" s="3">
        <f>COUNTIF(C3:G46, "Philbrick")</f>
        <v>0</v>
      </c>
      <c r="P8" s="3">
        <f>COUNTIF(H9:H52, "Philbrick")</f>
        <v>0</v>
      </c>
      <c r="Q8" s="3">
        <f>O8+'July 2025'!AB8</f>
        <v>9</v>
      </c>
      <c r="R8" s="3">
        <f>P8+'July 2025'!AC8</f>
        <v>2</v>
      </c>
    </row>
    <row r="9" spans="1:24" ht="13.35" customHeight="1" thickBot="1">
      <c r="A9" s="45"/>
      <c r="B9" s="192"/>
      <c r="C9" s="193"/>
      <c r="D9" s="193"/>
      <c r="E9" s="193"/>
      <c r="F9" s="194"/>
      <c r="G9" s="198" t="s">
        <v>225</v>
      </c>
      <c r="H9" s="199"/>
      <c r="I9" s="3"/>
      <c r="J9" s="3" t="s">
        <v>72</v>
      </c>
      <c r="K9" s="3" t="s">
        <v>165</v>
      </c>
      <c r="L9" s="3" t="s">
        <v>166</v>
      </c>
      <c r="M9" s="3" t="s">
        <v>69</v>
      </c>
      <c r="O9" s="3">
        <f>COUNTIF(C3:G46, "Sears") -5</f>
        <v>4</v>
      </c>
      <c r="P9" s="3">
        <f>COUNTIF(H4:H51, "Sears")</f>
        <v>1</v>
      </c>
      <c r="Q9" s="3">
        <f>O9+'July 2025'!AB9</f>
        <v>15</v>
      </c>
      <c r="R9" s="3">
        <f>P9+'July 2025'!AC9</f>
        <v>2</v>
      </c>
    </row>
    <row r="10" spans="1:24" ht="13.35" customHeight="1" thickBot="1">
      <c r="A10" s="60"/>
      <c r="B10" s="200"/>
      <c r="C10" s="201"/>
      <c r="D10" s="201"/>
      <c r="E10" s="201"/>
      <c r="F10" s="202"/>
      <c r="G10" s="203"/>
      <c r="H10" s="199"/>
      <c r="I10" s="3"/>
      <c r="J10" s="3" t="s">
        <v>34</v>
      </c>
      <c r="K10" s="3" t="s">
        <v>163</v>
      </c>
      <c r="L10" s="3" t="s">
        <v>174</v>
      </c>
      <c r="M10" s="3" t="s">
        <v>176</v>
      </c>
      <c r="O10" s="3">
        <f>COUNTIF(C3:G46, "Thompson") +1-5</f>
        <v>3</v>
      </c>
      <c r="P10" s="3">
        <f>COUNTIF(H3:H51, "Thompson")</f>
        <v>0</v>
      </c>
      <c r="Q10" s="3">
        <f>O10+'July 2025'!AB10</f>
        <v>10</v>
      </c>
      <c r="R10" s="3">
        <f>P10+'July 2025'!AC10</f>
        <v>1</v>
      </c>
    </row>
    <row r="11" spans="1:24" ht="13.35" customHeight="1">
      <c r="A11" s="45"/>
      <c r="B11" s="102">
        <v>3</v>
      </c>
      <c r="C11" s="102">
        <v>4</v>
      </c>
      <c r="D11" s="102">
        <v>5</v>
      </c>
      <c r="E11" s="102">
        <v>6</v>
      </c>
      <c r="F11" s="102">
        <v>7</v>
      </c>
      <c r="G11" s="102">
        <v>8</v>
      </c>
      <c r="H11" s="102">
        <v>9</v>
      </c>
      <c r="I11" s="3"/>
      <c r="J11" s="3" t="s">
        <v>152</v>
      </c>
      <c r="K11" s="3" t="s">
        <v>67</v>
      </c>
    </row>
    <row r="12" spans="1:24" s="39" customFormat="1" ht="13.35" customHeight="1">
      <c r="A12" s="48" t="s">
        <v>7</v>
      </c>
      <c r="B12" s="186" t="s">
        <v>135</v>
      </c>
      <c r="C12" s="13" t="s">
        <v>34</v>
      </c>
      <c r="D12" s="13" t="s">
        <v>136</v>
      </c>
      <c r="E12" s="195" t="s">
        <v>135</v>
      </c>
      <c r="F12" s="195" t="s">
        <v>207</v>
      </c>
      <c r="G12" s="195" t="s">
        <v>136</v>
      </c>
      <c r="H12" s="195" t="s">
        <v>137</v>
      </c>
      <c r="I12" s="61"/>
      <c r="J12" s="3" t="s">
        <v>24</v>
      </c>
      <c r="K12" s="3" t="s">
        <v>155</v>
      </c>
      <c r="L12" s="3" t="s">
        <v>190</v>
      </c>
      <c r="M12" s="3" t="s">
        <v>161</v>
      </c>
      <c r="N12" s="3"/>
      <c r="O12" s="3">
        <f>COUNTIF(C3:G46,"Dieu") -5</f>
        <v>5</v>
      </c>
      <c r="P12" s="3">
        <f>COUNTIF(H3:H40, "Dieu")</f>
        <v>1</v>
      </c>
      <c r="Q12" s="3">
        <f>O12+'July 2025'!AB12</f>
        <v>9</v>
      </c>
      <c r="R12" s="3">
        <f>P12+'July 2025'!AC12</f>
        <v>2</v>
      </c>
      <c r="S12" s="61"/>
      <c r="T12" s="61"/>
      <c r="U12" s="61"/>
      <c r="V12" s="61"/>
      <c r="W12" s="61"/>
      <c r="X12" s="61"/>
    </row>
    <row r="13" spans="1:24" ht="13.35" customHeight="1">
      <c r="A13" s="53" t="s">
        <v>8</v>
      </c>
      <c r="B13" s="204" t="s">
        <v>134</v>
      </c>
      <c r="C13" s="196"/>
      <c r="D13" s="196"/>
      <c r="E13" s="196"/>
      <c r="F13" s="196"/>
      <c r="G13" s="196"/>
      <c r="H13" s="196"/>
      <c r="I13" s="3"/>
      <c r="J13" s="3" t="s">
        <v>25</v>
      </c>
      <c r="K13" s="3" t="s">
        <v>168</v>
      </c>
      <c r="L13" s="3" t="s">
        <v>191</v>
      </c>
      <c r="M13" s="3" t="s">
        <v>192</v>
      </c>
      <c r="O13" s="3">
        <f>COUNTIF(C3:G46,"Huynh")-1</f>
        <v>5</v>
      </c>
      <c r="P13" s="3">
        <f>COUNTIF(H3:H40, "Huynh")</f>
        <v>2</v>
      </c>
      <c r="Q13" s="3">
        <f>O13+'July 2025'!AB13</f>
        <v>11</v>
      </c>
      <c r="R13" s="3">
        <f>P13+'July 2025'!AC13</f>
        <v>3</v>
      </c>
    </row>
    <row r="14" spans="1:24" ht="13.35" customHeight="1">
      <c r="A14" s="54" t="s">
        <v>9</v>
      </c>
      <c r="B14" s="26" t="s">
        <v>24</v>
      </c>
      <c r="C14" s="13" t="s">
        <v>24</v>
      </c>
      <c r="D14" s="13" t="s">
        <v>146</v>
      </c>
      <c r="E14" s="13" t="s">
        <v>26</v>
      </c>
      <c r="F14" s="13" t="s">
        <v>26</v>
      </c>
      <c r="G14" s="13" t="s">
        <v>25</v>
      </c>
      <c r="H14" s="13" t="s">
        <v>25</v>
      </c>
      <c r="I14" s="3"/>
      <c r="J14" s="3" t="s">
        <v>26</v>
      </c>
      <c r="K14" s="3" t="s">
        <v>169</v>
      </c>
      <c r="O14" s="3">
        <f>COUNTIF(C3:G46,"Mathew")</f>
        <v>6</v>
      </c>
      <c r="P14" s="3">
        <f>COUNTIF(H4:H40,"Mathew")</f>
        <v>2</v>
      </c>
      <c r="Q14" s="3">
        <f>O14+'July 2025'!AB14</f>
        <v>11</v>
      </c>
      <c r="R14" s="3">
        <f>P14+'July 2025'!AC14</f>
        <v>3</v>
      </c>
    </row>
    <row r="15" spans="1:24" ht="13.35" customHeight="1">
      <c r="A15" s="54" t="s">
        <v>10</v>
      </c>
      <c r="B15" s="196"/>
      <c r="C15" s="196"/>
      <c r="D15" s="196"/>
      <c r="E15" s="205" t="s">
        <v>62</v>
      </c>
      <c r="F15" s="196"/>
      <c r="G15" s="196"/>
      <c r="H15" s="196"/>
      <c r="I15" s="3"/>
      <c r="J15" s="3" t="s">
        <v>146</v>
      </c>
      <c r="K15" s="3" t="s">
        <v>170</v>
      </c>
      <c r="L15" s="3" t="s">
        <v>193</v>
      </c>
      <c r="M15" s="3" t="s">
        <v>69</v>
      </c>
      <c r="O15" s="3">
        <f>COUNTIF(C3:G46,"Noh") -5</f>
        <v>4</v>
      </c>
      <c r="P15" s="3">
        <f>COUNTIF(H3:H40, "Noh")</f>
        <v>0</v>
      </c>
      <c r="Q15" s="3">
        <f>O15+'July 2025'!AB15</f>
        <v>12</v>
      </c>
      <c r="R15" s="3">
        <f>P15+'July 2025'!AC15</f>
        <v>1</v>
      </c>
    </row>
    <row r="16" spans="1:24" ht="13.35" customHeight="1">
      <c r="A16" s="63" t="s">
        <v>11</v>
      </c>
      <c r="B16" s="206"/>
      <c r="C16" s="170" t="s">
        <v>72</v>
      </c>
      <c r="D16" s="170" t="s">
        <v>72</v>
      </c>
      <c r="E16" s="170" t="s">
        <v>72</v>
      </c>
      <c r="F16" s="170" t="s">
        <v>229</v>
      </c>
      <c r="G16" s="170" t="s">
        <v>227</v>
      </c>
      <c r="H16" s="207"/>
      <c r="I16" s="3"/>
    </row>
    <row r="17" spans="1:24" ht="13.35" customHeight="1" thickBot="1">
      <c r="A17" s="45"/>
      <c r="B17" s="197"/>
      <c r="C17" s="198"/>
      <c r="D17" s="198"/>
      <c r="E17" s="198"/>
      <c r="F17" s="198" t="s">
        <v>230</v>
      </c>
      <c r="G17" s="198" t="s">
        <v>228</v>
      </c>
      <c r="H17" s="208"/>
      <c r="I17" s="3"/>
    </row>
    <row r="18" spans="1:24" ht="13.35" customHeight="1" thickBot="1">
      <c r="A18" s="60"/>
      <c r="B18" s="199"/>
      <c r="C18" s="203"/>
      <c r="D18" s="203"/>
      <c r="E18" s="203"/>
      <c r="F18" s="203" t="s">
        <v>72</v>
      </c>
      <c r="G18" s="203" t="s">
        <v>72</v>
      </c>
      <c r="H18" s="208"/>
      <c r="I18" s="3"/>
    </row>
    <row r="19" spans="1:24" ht="13.35" customHeight="1">
      <c r="A19" s="45"/>
      <c r="B19" s="102">
        <v>10</v>
      </c>
      <c r="C19" s="102">
        <v>11</v>
      </c>
      <c r="D19" s="102">
        <v>12</v>
      </c>
      <c r="E19" s="102">
        <v>13</v>
      </c>
      <c r="F19" s="102">
        <v>14</v>
      </c>
      <c r="G19" s="102">
        <v>15</v>
      </c>
      <c r="H19" s="209">
        <v>16</v>
      </c>
      <c r="I19" s="61"/>
    </row>
    <row r="20" spans="1:24" ht="13.35" customHeight="1">
      <c r="A20" s="48" t="s">
        <v>7</v>
      </c>
      <c r="B20" s="195" t="s">
        <v>137</v>
      </c>
      <c r="C20" s="4" t="s">
        <v>134</v>
      </c>
      <c r="D20" s="195" t="s">
        <v>137</v>
      </c>
      <c r="E20" s="195" t="s">
        <v>208</v>
      </c>
      <c r="F20" s="195" t="s">
        <v>135</v>
      </c>
      <c r="G20" s="195" t="s">
        <v>72</v>
      </c>
      <c r="H20" s="195" t="s">
        <v>134</v>
      </c>
      <c r="I20" s="3"/>
    </row>
    <row r="21" spans="1:24" s="39" customFormat="1" ht="12.75" customHeight="1">
      <c r="A21" s="53" t="s">
        <v>8</v>
      </c>
      <c r="B21" s="195" t="s">
        <v>35</v>
      </c>
      <c r="C21" s="196"/>
      <c r="D21" s="196"/>
      <c r="E21" s="196"/>
      <c r="F21" s="196"/>
      <c r="G21" s="196"/>
      <c r="H21" s="196"/>
      <c r="I21" s="3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spans="1:24" ht="13.35" customHeight="1">
      <c r="A22" s="54" t="s">
        <v>9</v>
      </c>
      <c r="B22" s="18" t="s">
        <v>25</v>
      </c>
      <c r="C22" s="2" t="s">
        <v>25</v>
      </c>
      <c r="D22" s="18" t="s">
        <v>24</v>
      </c>
      <c r="E22" s="18" t="s">
        <v>26</v>
      </c>
      <c r="F22" s="18" t="s">
        <v>146</v>
      </c>
      <c r="G22" s="18" t="s">
        <v>26</v>
      </c>
      <c r="H22" s="18" t="s">
        <v>26</v>
      </c>
      <c r="I22" s="3"/>
    </row>
    <row r="23" spans="1:24" ht="13.35" customHeight="1">
      <c r="A23" s="54" t="s">
        <v>10</v>
      </c>
      <c r="B23" s="196"/>
      <c r="C23" s="196"/>
      <c r="D23" s="196"/>
      <c r="E23" s="219"/>
      <c r="F23" s="196"/>
      <c r="G23" s="196"/>
      <c r="H23" s="196"/>
      <c r="I23" s="3"/>
    </row>
    <row r="24" spans="1:24" ht="13.35" customHeight="1" thickBot="1">
      <c r="A24" s="63" t="s">
        <v>11</v>
      </c>
      <c r="B24" s="211"/>
      <c r="C24" s="212" t="s">
        <v>204</v>
      </c>
      <c r="D24" s="212" t="s">
        <v>204</v>
      </c>
      <c r="E24" s="212" t="s">
        <v>204</v>
      </c>
      <c r="F24" s="212" t="s">
        <v>204</v>
      </c>
      <c r="G24" s="212" t="s">
        <v>204</v>
      </c>
      <c r="H24" s="213"/>
      <c r="I24" s="3"/>
    </row>
    <row r="25" spans="1:24" ht="13.35" customHeight="1" thickBot="1">
      <c r="A25" s="45"/>
      <c r="B25" s="214"/>
      <c r="C25" s="62"/>
      <c r="D25" s="62"/>
      <c r="E25" s="62"/>
      <c r="F25" s="62"/>
      <c r="G25" s="62"/>
      <c r="H25" s="215"/>
      <c r="I25" s="61"/>
    </row>
    <row r="26" spans="1:24" ht="13.35" customHeight="1" thickBot="1">
      <c r="A26" s="60"/>
      <c r="B26" s="216"/>
      <c r="C26" s="217"/>
      <c r="D26" s="217"/>
      <c r="E26" s="217"/>
      <c r="F26" s="217"/>
      <c r="G26" s="217"/>
      <c r="H26" s="215"/>
      <c r="I26" s="61"/>
    </row>
    <row r="27" spans="1:24" s="39" customFormat="1" ht="13.35" customHeight="1">
      <c r="A27" s="45"/>
      <c r="B27" s="102">
        <v>17</v>
      </c>
      <c r="C27" s="102">
        <v>18</v>
      </c>
      <c r="D27" s="102">
        <v>19</v>
      </c>
      <c r="E27" s="102">
        <v>20</v>
      </c>
      <c r="F27" s="102">
        <v>21</v>
      </c>
      <c r="G27" s="102">
        <v>22</v>
      </c>
      <c r="H27" s="209">
        <v>23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spans="1:24" s="39" customFormat="1" ht="13.35" customHeight="1">
      <c r="A28" s="48" t="s">
        <v>7</v>
      </c>
      <c r="B28" s="195" t="s">
        <v>134</v>
      </c>
      <c r="C28" s="193" t="s">
        <v>72</v>
      </c>
      <c r="D28" s="195" t="s">
        <v>135</v>
      </c>
      <c r="E28" s="195" t="s">
        <v>35</v>
      </c>
      <c r="F28" s="195" t="s">
        <v>134</v>
      </c>
      <c r="G28" s="195" t="s">
        <v>210</v>
      </c>
      <c r="H28" s="195" t="s">
        <v>72</v>
      </c>
      <c r="I28" s="3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s="39" customFormat="1" ht="13.35" customHeight="1">
      <c r="A29" s="53" t="s">
        <v>8</v>
      </c>
      <c r="B29" s="218" t="s">
        <v>135</v>
      </c>
      <c r="C29" s="196"/>
      <c r="D29" s="196"/>
      <c r="E29" s="196"/>
      <c r="F29" s="196"/>
      <c r="G29" s="196"/>
      <c r="H29" s="196"/>
      <c r="I29" s="3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ht="13.35" customHeight="1">
      <c r="A30" s="54" t="s">
        <v>9</v>
      </c>
      <c r="B30" s="26" t="s">
        <v>26</v>
      </c>
      <c r="C30" s="2" t="s">
        <v>25</v>
      </c>
      <c r="D30" s="18" t="s">
        <v>26</v>
      </c>
      <c r="E30" s="18" t="s">
        <v>25</v>
      </c>
      <c r="F30" s="18" t="s">
        <v>26</v>
      </c>
      <c r="G30" s="18" t="s">
        <v>25</v>
      </c>
      <c r="H30" s="18" t="s">
        <v>25</v>
      </c>
      <c r="I30" s="3"/>
    </row>
    <row r="31" spans="1:24" ht="13.35" customHeight="1">
      <c r="A31" s="54" t="s">
        <v>10</v>
      </c>
      <c r="B31" s="196"/>
      <c r="C31" s="196"/>
      <c r="D31" s="196"/>
      <c r="E31" s="210" t="s">
        <v>72</v>
      </c>
      <c r="F31" s="219"/>
      <c r="G31" s="196"/>
      <c r="H31" s="196"/>
      <c r="I31" s="3"/>
    </row>
    <row r="32" spans="1:24" ht="13.35" customHeight="1" thickBot="1">
      <c r="A32" s="63" t="s">
        <v>11</v>
      </c>
      <c r="B32" s="211"/>
      <c r="C32" s="333" t="s">
        <v>24</v>
      </c>
      <c r="D32" s="333" t="s">
        <v>24</v>
      </c>
      <c r="E32" s="333" t="s">
        <v>24</v>
      </c>
      <c r="F32" s="333" t="s">
        <v>24</v>
      </c>
      <c r="G32" s="333" t="s">
        <v>24</v>
      </c>
      <c r="H32" s="213"/>
      <c r="I32" s="3"/>
    </row>
    <row r="33" spans="1:24" ht="13.35" customHeight="1" thickBot="1">
      <c r="A33" s="45"/>
      <c r="B33" s="351"/>
      <c r="C33" s="334" t="s">
        <v>146</v>
      </c>
      <c r="D33" s="334" t="s">
        <v>146</v>
      </c>
      <c r="E33" s="334" t="s">
        <v>146</v>
      </c>
      <c r="F33" s="334" t="s">
        <v>146</v>
      </c>
      <c r="G33" s="334" t="s">
        <v>146</v>
      </c>
      <c r="H33" s="352"/>
      <c r="I33" s="3"/>
    </row>
    <row r="34" spans="1:24" ht="13.35" customHeight="1" thickBot="1">
      <c r="A34" s="45"/>
      <c r="B34" s="214"/>
      <c r="C34" s="62" t="s">
        <v>34</v>
      </c>
      <c r="D34" s="62" t="s">
        <v>34</v>
      </c>
      <c r="E34" s="62" t="s">
        <v>34</v>
      </c>
      <c r="F34" s="62" t="s">
        <v>34</v>
      </c>
      <c r="G34" s="334" t="s">
        <v>35</v>
      </c>
      <c r="H34" s="215"/>
      <c r="I34" s="3"/>
    </row>
    <row r="35" spans="1:24" ht="13.35" customHeight="1" thickBot="1">
      <c r="A35" s="45"/>
      <c r="B35" s="351"/>
      <c r="C35" s="62"/>
      <c r="D35" s="62"/>
      <c r="E35" s="62"/>
      <c r="F35" s="62"/>
      <c r="G35" s="334" t="s">
        <v>34</v>
      </c>
      <c r="H35" s="215"/>
      <c r="I35" s="3"/>
    </row>
    <row r="36" spans="1:24" ht="13.35" customHeight="1" thickBot="1">
      <c r="A36" s="283"/>
      <c r="B36" s="284"/>
      <c r="C36" s="285"/>
      <c r="D36" s="285"/>
      <c r="E36" s="285"/>
      <c r="F36" s="285"/>
      <c r="G36" s="285" t="s">
        <v>135</v>
      </c>
      <c r="H36" s="215"/>
      <c r="I36" s="3"/>
    </row>
    <row r="37" spans="1:24" ht="13.35" customHeight="1">
      <c r="A37" s="45"/>
      <c r="B37" s="102">
        <v>24</v>
      </c>
      <c r="C37" s="102">
        <v>25</v>
      </c>
      <c r="D37" s="102">
        <v>26</v>
      </c>
      <c r="E37" s="102">
        <v>27</v>
      </c>
      <c r="F37" s="102">
        <v>28</v>
      </c>
      <c r="G37" s="102">
        <v>29</v>
      </c>
      <c r="H37" s="209">
        <v>30</v>
      </c>
      <c r="I37" s="3"/>
    </row>
    <row r="38" spans="1:24" ht="13.35" customHeight="1">
      <c r="A38" s="48" t="s">
        <v>7</v>
      </c>
      <c r="B38" s="195" t="s">
        <v>72</v>
      </c>
      <c r="C38" s="195" t="s">
        <v>34</v>
      </c>
      <c r="D38" s="195" t="s">
        <v>136</v>
      </c>
      <c r="E38" s="195" t="s">
        <v>72</v>
      </c>
      <c r="F38" s="195" t="s">
        <v>212</v>
      </c>
      <c r="G38" s="195" t="s">
        <v>211</v>
      </c>
      <c r="H38" s="195" t="s">
        <v>136</v>
      </c>
      <c r="I38" s="3"/>
    </row>
    <row r="39" spans="1:24" ht="13.35" customHeight="1">
      <c r="A39" s="53" t="s">
        <v>8</v>
      </c>
      <c r="B39" s="195" t="s">
        <v>137</v>
      </c>
      <c r="C39" s="196"/>
      <c r="D39" s="196"/>
      <c r="E39" s="196"/>
      <c r="F39" s="196"/>
      <c r="G39" s="196"/>
      <c r="H39" s="196"/>
      <c r="I39" s="3"/>
    </row>
    <row r="40" spans="1:24" ht="13.35" customHeight="1">
      <c r="A40" s="54" t="s">
        <v>9</v>
      </c>
      <c r="B40" s="204" t="s">
        <v>25</v>
      </c>
      <c r="C40" s="62" t="s">
        <v>24</v>
      </c>
      <c r="D40" s="26" t="s">
        <v>146</v>
      </c>
      <c r="E40" s="2" t="s">
        <v>25</v>
      </c>
      <c r="F40" s="18" t="s">
        <v>146</v>
      </c>
      <c r="G40" s="18" t="s">
        <v>24</v>
      </c>
      <c r="H40" s="18" t="s">
        <v>26</v>
      </c>
      <c r="I40" s="61"/>
    </row>
    <row r="41" spans="1:24" s="39" customFormat="1" ht="13.35" customHeight="1">
      <c r="A41" s="54" t="s">
        <v>10</v>
      </c>
      <c r="B41" s="196"/>
      <c r="C41" s="196"/>
      <c r="D41" s="196"/>
      <c r="E41" s="210" t="s">
        <v>136</v>
      </c>
      <c r="F41" s="220"/>
      <c r="G41" s="196"/>
      <c r="H41" s="196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</row>
    <row r="42" spans="1:24" ht="13.35" customHeight="1">
      <c r="A42" s="15" t="s">
        <v>33</v>
      </c>
      <c r="B42" s="221"/>
      <c r="C42" s="108"/>
      <c r="D42" s="108"/>
      <c r="E42" s="109"/>
      <c r="F42" s="108"/>
      <c r="G42" s="108"/>
      <c r="H42" s="108"/>
      <c r="I42" s="3"/>
    </row>
    <row r="43" spans="1:24" s="39" customFormat="1" ht="13.35" customHeight="1" thickBot="1">
      <c r="A43" s="45" t="s">
        <v>11</v>
      </c>
      <c r="B43" s="197"/>
      <c r="C43" s="198" t="s">
        <v>218</v>
      </c>
      <c r="D43" s="198" t="s">
        <v>35</v>
      </c>
      <c r="E43" s="198" t="s">
        <v>35</v>
      </c>
      <c r="F43" s="198" t="s">
        <v>35</v>
      </c>
      <c r="G43" s="332" t="s">
        <v>35</v>
      </c>
      <c r="H43" s="213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1:24" s="39" customFormat="1" ht="13.35" customHeight="1" thickBot="1">
      <c r="A44" s="45"/>
      <c r="B44" s="197"/>
      <c r="C44" s="198" t="s">
        <v>35</v>
      </c>
      <c r="D44" s="332" t="s">
        <v>134</v>
      </c>
      <c r="E44" s="198" t="s">
        <v>134</v>
      </c>
      <c r="F44" s="198" t="s">
        <v>134</v>
      </c>
      <c r="G44" s="198" t="s">
        <v>134</v>
      </c>
      <c r="H44" s="215"/>
      <c r="I44" s="3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</row>
    <row r="45" spans="1:24" ht="13.35" customHeight="1" thickBot="1">
      <c r="A45" s="45"/>
      <c r="B45" s="199"/>
      <c r="C45" s="198" t="s">
        <v>134</v>
      </c>
      <c r="D45" s="198" t="s">
        <v>135</v>
      </c>
      <c r="E45" s="332" t="s">
        <v>135</v>
      </c>
      <c r="F45" s="198" t="s">
        <v>135</v>
      </c>
      <c r="G45" s="198" t="s">
        <v>135</v>
      </c>
      <c r="H45" s="215"/>
      <c r="I45" s="3"/>
    </row>
    <row r="46" spans="1:24" ht="13.35" customHeight="1" thickBot="1">
      <c r="A46" s="283"/>
      <c r="B46" s="350"/>
      <c r="C46" s="198" t="s">
        <v>205</v>
      </c>
      <c r="D46" s="198" t="s">
        <v>205</v>
      </c>
      <c r="E46" s="198" t="s">
        <v>205</v>
      </c>
      <c r="F46" s="198" t="s">
        <v>205</v>
      </c>
      <c r="G46" s="198" t="s">
        <v>205</v>
      </c>
      <c r="H46" s="215"/>
      <c r="I46" s="3"/>
    </row>
    <row r="47" spans="1:24" s="39" customFormat="1" ht="13.35" customHeight="1">
      <c r="A47" s="45"/>
      <c r="B47" s="102">
        <v>31</v>
      </c>
      <c r="C47" s="312"/>
      <c r="D47" s="168"/>
      <c r="E47" s="168"/>
      <c r="F47" s="168"/>
      <c r="G47" s="168"/>
      <c r="H47" s="313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</row>
    <row r="48" spans="1:24" s="39" customFormat="1" ht="13.35" customHeight="1">
      <c r="A48" s="48" t="s">
        <v>7</v>
      </c>
      <c r="B48" s="195" t="s">
        <v>136</v>
      </c>
      <c r="C48" s="192"/>
      <c r="D48" s="193"/>
      <c r="E48" s="193"/>
      <c r="F48" s="193"/>
      <c r="G48" s="193"/>
      <c r="H48" s="194"/>
      <c r="I48" s="3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</row>
    <row r="49" spans="1:24" s="39" customFormat="1" ht="13.35" customHeight="1">
      <c r="A49" s="53" t="s">
        <v>8</v>
      </c>
      <c r="B49" s="218" t="s">
        <v>34</v>
      </c>
      <c r="C49" s="192"/>
      <c r="D49" s="193"/>
      <c r="E49" s="193"/>
      <c r="F49" s="193"/>
      <c r="G49" s="193"/>
      <c r="H49" s="194"/>
      <c r="I49" s="3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</row>
    <row r="50" spans="1:24" ht="13.35" customHeight="1">
      <c r="A50" s="54" t="s">
        <v>9</v>
      </c>
      <c r="B50" s="204" t="s">
        <v>26</v>
      </c>
      <c r="C50" s="314"/>
      <c r="D50" s="230"/>
      <c r="E50" s="230"/>
      <c r="F50" s="4"/>
      <c r="G50" s="193"/>
      <c r="H50" s="194"/>
      <c r="I50" s="3"/>
    </row>
    <row r="51" spans="1:24" ht="13.35" customHeight="1">
      <c r="A51" s="54" t="s">
        <v>10</v>
      </c>
      <c r="B51" s="196"/>
      <c r="C51" s="192"/>
      <c r="D51" s="193"/>
      <c r="E51" s="193"/>
      <c r="F51" s="193"/>
      <c r="G51" s="232"/>
      <c r="H51" s="194"/>
      <c r="I51" s="3"/>
    </row>
    <row r="52" spans="1:24" ht="13.35" customHeight="1" thickBot="1">
      <c r="A52" s="63" t="s">
        <v>11</v>
      </c>
      <c r="B52" s="211"/>
      <c r="C52" s="314"/>
      <c r="D52" s="230"/>
      <c r="E52" s="230"/>
      <c r="F52" s="230"/>
      <c r="G52" s="230"/>
      <c r="H52" s="315"/>
      <c r="I52" s="3"/>
    </row>
    <row r="53" spans="1:24" ht="13.35" customHeight="1">
      <c r="A53" s="45"/>
      <c r="B53" s="214"/>
      <c r="C53" s="314"/>
      <c r="D53" s="230"/>
      <c r="E53" s="230"/>
      <c r="F53" s="230"/>
      <c r="G53" s="230"/>
      <c r="H53" s="315"/>
      <c r="I53" s="3"/>
      <c r="J53" s="339"/>
    </row>
    <row r="54" spans="1:24" ht="13.35" customHeight="1" thickBot="1">
      <c r="A54" s="283"/>
      <c r="B54" s="284"/>
      <c r="C54" s="316"/>
      <c r="D54" s="317"/>
      <c r="E54" s="317"/>
      <c r="F54" s="317"/>
      <c r="G54" s="317"/>
      <c r="H54" s="318"/>
      <c r="I54" s="3"/>
      <c r="J54" s="339"/>
    </row>
    <row r="55" spans="1:24" ht="12" customHeight="1">
      <c r="A55" s="78" t="s">
        <v>12</v>
      </c>
      <c r="B55" s="51"/>
      <c r="C55" s="51"/>
      <c r="D55" s="51"/>
      <c r="E55" s="51"/>
      <c r="F55" s="51"/>
      <c r="G55" s="51"/>
      <c r="H55" s="79" t="s">
        <v>245</v>
      </c>
      <c r="I55" s="3"/>
      <c r="J55" s="41"/>
    </row>
    <row r="56" spans="1:24" ht="12" customHeight="1">
      <c r="A56" s="42" t="s">
        <v>22</v>
      </c>
      <c r="C56" s="51"/>
      <c r="D56" s="51"/>
      <c r="E56" s="51"/>
      <c r="F56" s="51"/>
      <c r="G56" s="80" t="s">
        <v>13</v>
      </c>
      <c r="H56" s="51"/>
      <c r="I56" s="3"/>
      <c r="J56" s="41"/>
    </row>
    <row r="57" spans="1:24" ht="12" customHeight="1">
      <c r="J57" s="41"/>
    </row>
    <row r="58" spans="1:24" ht="12" customHeight="1">
      <c r="A58" s="178" t="s">
        <v>92</v>
      </c>
      <c r="B58" s="51"/>
      <c r="C58" s="51"/>
      <c r="D58" s="51"/>
      <c r="E58" s="51"/>
      <c r="F58" s="51"/>
      <c r="G58" s="51"/>
      <c r="H58" s="51"/>
      <c r="I58" s="3"/>
      <c r="J58" s="41"/>
    </row>
    <row r="59" spans="1:24" ht="12" customHeight="1" thickBot="1">
      <c r="A59" s="51" t="s">
        <v>138</v>
      </c>
      <c r="B59" s="51"/>
      <c r="C59" s="51"/>
      <c r="D59" s="51"/>
      <c r="E59" s="51"/>
      <c r="F59" s="51"/>
      <c r="G59" s="51"/>
      <c r="H59" s="51"/>
      <c r="I59" s="3"/>
      <c r="J59" s="41"/>
    </row>
    <row r="60" spans="1:24" ht="12" customHeight="1">
      <c r="A60" s="75" t="s">
        <v>14</v>
      </c>
      <c r="B60" s="81"/>
      <c r="C60" s="175" t="s">
        <v>1</v>
      </c>
      <c r="D60" s="175" t="s">
        <v>2</v>
      </c>
      <c r="E60" s="175" t="s">
        <v>3</v>
      </c>
      <c r="F60" s="175" t="s">
        <v>4</v>
      </c>
      <c r="G60" s="175" t="s">
        <v>5</v>
      </c>
      <c r="H60" s="51"/>
      <c r="I60" s="3"/>
      <c r="J60" s="41"/>
    </row>
    <row r="61" spans="1:24" ht="12" customHeight="1">
      <c r="A61" s="75"/>
      <c r="B61" s="173" t="s">
        <v>32</v>
      </c>
      <c r="C61" s="59"/>
      <c r="D61" s="174"/>
      <c r="E61" s="174"/>
      <c r="F61" s="174"/>
      <c r="G61" s="174"/>
      <c r="H61" s="51"/>
      <c r="I61" s="3"/>
    </row>
    <row r="62" spans="1:24" ht="12" customHeight="1">
      <c r="B62" s="173" t="s">
        <v>15</v>
      </c>
      <c r="C62" s="170" t="s">
        <v>137</v>
      </c>
      <c r="D62" s="170" t="s">
        <v>134</v>
      </c>
      <c r="E62" s="170" t="s">
        <v>135</v>
      </c>
      <c r="F62" s="170" t="s">
        <v>72</v>
      </c>
      <c r="G62" s="170" t="s">
        <v>35</v>
      </c>
    </row>
    <row r="63" spans="1:24" ht="15">
      <c r="B63" s="231"/>
      <c r="C63" s="233" t="s">
        <v>136</v>
      </c>
      <c r="D63" s="233"/>
      <c r="E63" s="233"/>
      <c r="F63" s="233"/>
      <c r="G63" s="233" t="s">
        <v>34</v>
      </c>
    </row>
    <row r="65" spans="1:1">
      <c r="A65" s="4" t="s">
        <v>103</v>
      </c>
    </row>
  </sheetData>
  <mergeCells count="1">
    <mergeCell ref="B1:H1"/>
  </mergeCells>
  <phoneticPr fontId="3" type="noConversion"/>
  <pageMargins left="0.3" right="0.25" top="0.6" bottom="0.25" header="0.3" footer="0.3"/>
  <pageSetup scale="65" orientation="landscape" r:id="rId1"/>
  <headerFooter>
    <oddHeader>&amp;C&amp;"Times New Roman,Bold"Ophthalmology Resident Call/Rounds Presentation/Vacation Schedule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7"/>
  <sheetViews>
    <sheetView zoomScale="91" zoomScaleNormal="91" zoomScalePageLayoutView="150" workbookViewId="0">
      <pane xSplit="1" topLeftCell="C1" activePane="topRight" state="frozen"/>
      <selection activeCell="A4" sqref="A4"/>
      <selection pane="topRight"/>
    </sheetView>
  </sheetViews>
  <sheetFormatPr defaultColWidth="8.7109375" defaultRowHeight="12"/>
  <cols>
    <col min="1" max="8" width="18.7109375" style="4" customWidth="1"/>
    <col min="9" max="9" width="8.7109375" style="4"/>
    <col min="10" max="18" width="8.7109375" style="3"/>
    <col min="19" max="16384" width="8.7109375" style="4"/>
  </cols>
  <sheetData>
    <row r="1" spans="1:20" s="82" customFormat="1" ht="16.5" thickBot="1">
      <c r="B1" s="407" t="s">
        <v>88</v>
      </c>
      <c r="C1" s="408"/>
      <c r="D1" s="408"/>
      <c r="E1" s="408"/>
      <c r="F1" s="408"/>
      <c r="G1" s="408"/>
      <c r="H1" s="408"/>
      <c r="J1" s="3" t="s">
        <v>150</v>
      </c>
      <c r="K1" s="3" t="s">
        <v>67</v>
      </c>
      <c r="L1" s="3" t="s">
        <v>158</v>
      </c>
      <c r="M1" s="3" t="s">
        <v>153</v>
      </c>
      <c r="N1" s="3"/>
      <c r="O1" s="3" t="s">
        <v>183</v>
      </c>
      <c r="P1" s="3" t="s">
        <v>57</v>
      </c>
      <c r="Q1" s="3" t="s">
        <v>184</v>
      </c>
      <c r="R1" s="3" t="s">
        <v>185</v>
      </c>
      <c r="S1" s="3"/>
      <c r="T1" s="3" t="s">
        <v>188</v>
      </c>
    </row>
    <row r="2" spans="1:20" ht="12.75" thickBot="1">
      <c r="A2" s="98"/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  <c r="J2" s="3" t="s">
        <v>137</v>
      </c>
      <c r="K2" s="3" t="s">
        <v>168</v>
      </c>
      <c r="L2" s="3" t="s">
        <v>179</v>
      </c>
      <c r="O2" s="3">
        <f>COUNTIF(C4:G44, "Jones")+1-4</f>
        <v>3</v>
      </c>
      <c r="P2" s="3">
        <f>COUNTIF(H4:H44, "Jones")</f>
        <v>1</v>
      </c>
      <c r="Q2" s="3">
        <f>O2+'August 2025'!Q2</f>
        <v>5</v>
      </c>
      <c r="R2" s="3">
        <f>P2+'August 2025'!R2</f>
        <v>2</v>
      </c>
      <c r="S2" s="3"/>
      <c r="T2" s="3">
        <f>SUM(O2:P10)</f>
        <v>30</v>
      </c>
    </row>
    <row r="3" spans="1:20" ht="13.35" customHeight="1">
      <c r="A3" s="100"/>
      <c r="B3" s="101"/>
      <c r="C3" s="136" t="s">
        <v>149</v>
      </c>
      <c r="D3" s="101">
        <v>2</v>
      </c>
      <c r="E3" s="103">
        <v>3</v>
      </c>
      <c r="F3" s="103">
        <v>4</v>
      </c>
      <c r="G3" s="103">
        <v>5</v>
      </c>
      <c r="H3" s="103">
        <v>6</v>
      </c>
      <c r="J3" s="3" t="s">
        <v>134</v>
      </c>
      <c r="K3" s="3" t="s">
        <v>157</v>
      </c>
      <c r="L3" s="3" t="s">
        <v>69</v>
      </c>
      <c r="M3" s="3" t="s">
        <v>175</v>
      </c>
      <c r="O3" s="3">
        <f>COUNTIF(C4:G44, "Moezzi")</f>
        <v>5</v>
      </c>
      <c r="P3" s="3">
        <f>COUNTIF(H4:H45, "Moezzi")</f>
        <v>0</v>
      </c>
      <c r="Q3" s="3">
        <f>O3+'August 2025'!Q3</f>
        <v>8</v>
      </c>
      <c r="R3" s="3">
        <f>P3+'August 2025'!R3</f>
        <v>1</v>
      </c>
      <c r="S3" s="3"/>
      <c r="T3" s="3"/>
    </row>
    <row r="4" spans="1:20" ht="13.35" customHeight="1">
      <c r="A4" s="104" t="s">
        <v>7</v>
      </c>
      <c r="B4" s="102"/>
      <c r="C4" s="106" t="s">
        <v>34</v>
      </c>
      <c r="D4" s="106" t="s">
        <v>35</v>
      </c>
      <c r="E4" s="106" t="s">
        <v>213</v>
      </c>
      <c r="F4" s="106" t="s">
        <v>136</v>
      </c>
      <c r="G4" s="106" t="s">
        <v>36</v>
      </c>
      <c r="H4" s="106" t="s">
        <v>35</v>
      </c>
      <c r="J4" s="3" t="s">
        <v>135</v>
      </c>
      <c r="K4" s="3" t="s">
        <v>154</v>
      </c>
      <c r="L4" s="3" t="s">
        <v>172</v>
      </c>
      <c r="M4" s="3" t="s">
        <v>180</v>
      </c>
      <c r="O4" s="3">
        <f>COUNTIF(C4:G44,"Tung")+3</f>
        <v>8</v>
      </c>
      <c r="P4" s="3">
        <f>COUNTIF(H4:H44, "Tung")</f>
        <v>0</v>
      </c>
      <c r="Q4" s="3">
        <f>O4+'August 2025'!Q4</f>
        <v>11</v>
      </c>
      <c r="R4" s="3">
        <f>P4+'August 2025'!R4</f>
        <v>1</v>
      </c>
      <c r="S4" s="52"/>
      <c r="T4" s="52"/>
    </row>
    <row r="5" spans="1:20" ht="13.35" customHeight="1">
      <c r="A5" s="223" t="s">
        <v>8</v>
      </c>
      <c r="B5" s="127"/>
      <c r="C5" s="108"/>
      <c r="D5" s="108"/>
      <c r="E5" s="108"/>
      <c r="F5" s="108"/>
      <c r="G5" s="108"/>
      <c r="H5" s="108"/>
      <c r="J5" s="3" t="s">
        <v>136</v>
      </c>
      <c r="K5" s="3" t="s">
        <v>156</v>
      </c>
      <c r="L5" s="3" t="s">
        <v>171</v>
      </c>
      <c r="M5" s="3" t="s">
        <v>160</v>
      </c>
      <c r="O5" s="3">
        <f>COUNTIF(C4:G44, "Wen")-5</f>
        <v>2</v>
      </c>
      <c r="P5" s="3">
        <f>COUNTIF(H4:H44, "Wen")</f>
        <v>1</v>
      </c>
      <c r="Q5" s="3">
        <f>O5+'August 2025'!Q5</f>
        <v>7</v>
      </c>
      <c r="R5" s="3">
        <f>P5+'August 2025'!R5</f>
        <v>2</v>
      </c>
      <c r="S5" s="3"/>
      <c r="T5" s="3"/>
    </row>
    <row r="6" spans="1:20" ht="13.35" customHeight="1">
      <c r="A6" s="107" t="s">
        <v>9</v>
      </c>
      <c r="B6" s="127"/>
      <c r="C6" s="106" t="s">
        <v>26</v>
      </c>
      <c r="D6" s="13" t="s">
        <v>24</v>
      </c>
      <c r="E6" s="13" t="s">
        <v>146</v>
      </c>
      <c r="F6" s="13" t="s">
        <v>26</v>
      </c>
      <c r="G6" s="13" t="s">
        <v>25</v>
      </c>
      <c r="H6" s="13" t="s">
        <v>146</v>
      </c>
      <c r="J6" s="3" t="s">
        <v>151</v>
      </c>
      <c r="K6" s="3" t="s">
        <v>67</v>
      </c>
      <c r="S6" s="3"/>
      <c r="T6" s="3"/>
    </row>
    <row r="7" spans="1:20" ht="13.35" customHeight="1">
      <c r="A7" s="107" t="s">
        <v>10</v>
      </c>
      <c r="B7" s="127"/>
      <c r="C7" s="108"/>
      <c r="D7" s="108"/>
      <c r="E7" s="224" t="s">
        <v>62</v>
      </c>
      <c r="F7" s="108"/>
      <c r="G7" s="108"/>
      <c r="H7" s="108"/>
      <c r="J7" s="3" t="s">
        <v>35</v>
      </c>
      <c r="K7" s="3" t="s">
        <v>163</v>
      </c>
      <c r="L7" s="3" t="s">
        <v>178</v>
      </c>
      <c r="M7" s="3" t="s">
        <v>176</v>
      </c>
      <c r="O7" s="3">
        <f>COUNTIF(C3:G44, "Miller")</f>
        <v>4</v>
      </c>
      <c r="P7" s="3">
        <f>COUNTIF(H3:H49, "Miller")</f>
        <v>1</v>
      </c>
      <c r="Q7" s="3">
        <f>O7+'August 2025'!Q7</f>
        <v>8</v>
      </c>
      <c r="R7" s="3">
        <f>P7+'August 2025'!R7</f>
        <v>1</v>
      </c>
      <c r="S7" s="3"/>
      <c r="T7" s="3"/>
    </row>
    <row r="8" spans="1:20" ht="13.35" customHeight="1" thickBot="1">
      <c r="A8" s="130" t="s">
        <v>11</v>
      </c>
      <c r="B8" s="127"/>
      <c r="C8" s="226"/>
      <c r="D8" s="335" t="s">
        <v>137</v>
      </c>
      <c r="E8" s="335" t="s">
        <v>232</v>
      </c>
      <c r="F8" s="110" t="s">
        <v>137</v>
      </c>
      <c r="G8" s="110" t="s">
        <v>137</v>
      </c>
      <c r="H8" s="120"/>
      <c r="J8" s="3" t="s">
        <v>36</v>
      </c>
      <c r="K8" s="3" t="s">
        <v>181</v>
      </c>
      <c r="L8" s="3" t="s">
        <v>177</v>
      </c>
      <c r="M8" s="3" t="s">
        <v>69</v>
      </c>
      <c r="O8" s="3">
        <f>COUNTIF(C3:G44, "Philbrick")-5</f>
        <v>3</v>
      </c>
      <c r="P8" s="3">
        <f>COUNTIF(H3:H50, "Philbrick")</f>
        <v>0</v>
      </c>
      <c r="Q8" s="3">
        <f>O8+'August 2025'!Q8</f>
        <v>12</v>
      </c>
      <c r="R8" s="3">
        <f>P8+'August 2025'!R8</f>
        <v>2</v>
      </c>
      <c r="S8" s="3"/>
      <c r="T8" s="3"/>
    </row>
    <row r="9" spans="1:20" ht="13.35" customHeight="1" thickBot="1">
      <c r="A9" s="100"/>
      <c r="B9" s="105"/>
      <c r="C9" s="111"/>
      <c r="D9" s="105"/>
      <c r="E9" s="105" t="s">
        <v>137</v>
      </c>
      <c r="F9" s="105" t="s">
        <v>259</v>
      </c>
      <c r="G9" s="105"/>
      <c r="H9" s="120"/>
      <c r="J9" s="3" t="s">
        <v>72</v>
      </c>
      <c r="K9" s="3" t="s">
        <v>173</v>
      </c>
      <c r="O9" s="3">
        <f>COUNTIF(C3:G44, "Sears")</f>
        <v>0</v>
      </c>
      <c r="P9" s="3">
        <f>COUNTIF(H4:H49, "Sears")</f>
        <v>0</v>
      </c>
      <c r="Q9" s="3">
        <f>O9+'August 2025'!Q9</f>
        <v>15</v>
      </c>
      <c r="R9" s="3">
        <f>P9+'August 2025'!R9</f>
        <v>2</v>
      </c>
      <c r="S9" s="3"/>
      <c r="T9" s="3"/>
    </row>
    <row r="10" spans="1:20" ht="13.35" customHeight="1" thickBot="1">
      <c r="A10" s="114"/>
      <c r="B10" s="319"/>
      <c r="C10" s="349"/>
      <c r="D10" s="115"/>
      <c r="E10" s="115"/>
      <c r="F10" s="115"/>
      <c r="G10" s="115"/>
      <c r="H10" s="120"/>
      <c r="J10" s="3" t="s">
        <v>34</v>
      </c>
      <c r="K10" s="3" t="s">
        <v>164</v>
      </c>
      <c r="L10" s="3" t="s">
        <v>167</v>
      </c>
      <c r="M10" s="3" t="s">
        <v>69</v>
      </c>
      <c r="O10" s="3">
        <f>COUNTIF(C3:G44, "Thompson")</f>
        <v>2</v>
      </c>
      <c r="P10" s="3">
        <f>COUNTIF(H3:H49, "Thompson")</f>
        <v>0</v>
      </c>
      <c r="Q10" s="3">
        <f>O10+'August 2025'!Q10</f>
        <v>12</v>
      </c>
      <c r="R10" s="3">
        <f>P10+'August 2025'!R10</f>
        <v>1</v>
      </c>
      <c r="S10" s="3"/>
      <c r="T10" s="3"/>
    </row>
    <row r="11" spans="1:20" ht="13.35" customHeight="1">
      <c r="A11" s="100"/>
      <c r="B11" s="103">
        <v>7</v>
      </c>
      <c r="C11" s="103">
        <v>8</v>
      </c>
      <c r="D11" s="103">
        <v>9</v>
      </c>
      <c r="E11" s="103">
        <v>10</v>
      </c>
      <c r="F11" s="103">
        <v>11</v>
      </c>
      <c r="G11" s="102">
        <v>12</v>
      </c>
      <c r="H11" s="103">
        <v>13</v>
      </c>
      <c r="J11" s="3" t="s">
        <v>152</v>
      </c>
      <c r="K11" s="3" t="s">
        <v>67</v>
      </c>
      <c r="S11" s="3"/>
      <c r="T11" s="3"/>
    </row>
    <row r="12" spans="1:20" ht="13.35" customHeight="1">
      <c r="A12" s="104" t="s">
        <v>7</v>
      </c>
      <c r="B12" s="106" t="s">
        <v>35</v>
      </c>
      <c r="C12" s="106" t="s">
        <v>136</v>
      </c>
      <c r="D12" s="106" t="s">
        <v>36</v>
      </c>
      <c r="E12" s="106" t="s">
        <v>135</v>
      </c>
      <c r="F12" s="106" t="s">
        <v>134</v>
      </c>
      <c r="G12" s="106" t="s">
        <v>137</v>
      </c>
      <c r="H12" s="106" t="s">
        <v>209</v>
      </c>
      <c r="J12" s="3" t="s">
        <v>24</v>
      </c>
      <c r="K12" s="3" t="s">
        <v>155</v>
      </c>
      <c r="L12" s="3" t="s">
        <v>190</v>
      </c>
      <c r="M12" s="3" t="s">
        <v>161</v>
      </c>
      <c r="O12" s="3">
        <f>COUNTIF(C4:G43, "Dieu")</f>
        <v>6</v>
      </c>
      <c r="P12" s="3">
        <f>COUNTIF(H4:H31,"Dieu")</f>
        <v>1</v>
      </c>
      <c r="Q12" s="3">
        <f>O12+'August 2025'!Q12</f>
        <v>15</v>
      </c>
      <c r="R12" s="3">
        <f>P12+'August 2025'!R12</f>
        <v>3</v>
      </c>
      <c r="S12" s="3"/>
      <c r="T12" s="3"/>
    </row>
    <row r="13" spans="1:20" ht="13.35" customHeight="1">
      <c r="A13" s="223" t="s">
        <v>8</v>
      </c>
      <c r="B13" s="109" t="s">
        <v>135</v>
      </c>
      <c r="C13" s="108"/>
      <c r="D13" s="108"/>
      <c r="E13" s="108"/>
      <c r="F13" s="108"/>
      <c r="G13" s="108"/>
      <c r="H13" s="108"/>
      <c r="J13" s="3" t="s">
        <v>25</v>
      </c>
      <c r="K13" s="3" t="s">
        <v>168</v>
      </c>
      <c r="L13" s="3" t="s">
        <v>191</v>
      </c>
      <c r="M13" s="3" t="s">
        <v>192</v>
      </c>
      <c r="O13" s="3">
        <f>COUNTIF(C4:G43, "Huynh")-5</f>
        <v>5</v>
      </c>
      <c r="P13" s="3">
        <f>COUNTIF(H4:H31,"Huynh")</f>
        <v>0</v>
      </c>
      <c r="Q13" s="3">
        <f>O13+'August 2025'!Q13</f>
        <v>16</v>
      </c>
      <c r="R13" s="3">
        <f>P13+'August 2025'!R13</f>
        <v>3</v>
      </c>
      <c r="S13" s="3"/>
      <c r="T13" s="3"/>
    </row>
    <row r="14" spans="1:20" ht="13.35" customHeight="1">
      <c r="A14" s="107" t="s">
        <v>9</v>
      </c>
      <c r="B14" s="109" t="s">
        <v>146</v>
      </c>
      <c r="C14" s="2" t="s">
        <v>25</v>
      </c>
      <c r="D14" s="18" t="s">
        <v>26</v>
      </c>
      <c r="E14" s="18" t="s">
        <v>25</v>
      </c>
      <c r="F14" s="18" t="s">
        <v>26</v>
      </c>
      <c r="G14" s="18" t="s">
        <v>25</v>
      </c>
      <c r="H14" s="18" t="s">
        <v>26</v>
      </c>
      <c r="J14" s="3" t="s">
        <v>26</v>
      </c>
      <c r="K14" s="3" t="s">
        <v>169</v>
      </c>
      <c r="O14" s="3">
        <f>COUNTIF(C4:G43, "Mathew")-5</f>
        <v>4</v>
      </c>
      <c r="P14" s="3">
        <f>COUNTIF(H4:H31,"Mathew")</f>
        <v>1</v>
      </c>
      <c r="Q14" s="3">
        <f>O14+'August 2025'!Q14</f>
        <v>15</v>
      </c>
      <c r="R14" s="3">
        <f>P14+'August 2025'!R14</f>
        <v>4</v>
      </c>
      <c r="S14" s="3"/>
      <c r="T14" s="3"/>
    </row>
    <row r="15" spans="1:20" ht="13.35" customHeight="1">
      <c r="A15" s="107" t="s">
        <v>10</v>
      </c>
      <c r="B15" s="108"/>
      <c r="C15" s="108"/>
      <c r="D15" s="108"/>
      <c r="E15" s="109" t="s">
        <v>34</v>
      </c>
      <c r="F15" s="108"/>
      <c r="G15" s="108"/>
      <c r="H15" s="108"/>
      <c r="J15" s="3" t="s">
        <v>146</v>
      </c>
      <c r="K15" s="3" t="s">
        <v>170</v>
      </c>
      <c r="L15" s="3" t="s">
        <v>193</v>
      </c>
      <c r="M15" s="3" t="s">
        <v>69</v>
      </c>
      <c r="O15" s="3">
        <f>COUNTIF(C4:G43, "Noh")</f>
        <v>5</v>
      </c>
      <c r="P15" s="3">
        <f>COUNTIF(H4:H31,"Noh")</f>
        <v>2</v>
      </c>
      <c r="Q15" s="3">
        <f>O15+'August 2025'!Q15</f>
        <v>17</v>
      </c>
      <c r="R15" s="3">
        <f>P15+'August 2025'!R15</f>
        <v>3</v>
      </c>
      <c r="S15" s="3"/>
      <c r="T15" s="3"/>
    </row>
    <row r="16" spans="1:20" ht="13.35" customHeight="1" thickBot="1">
      <c r="A16" s="130" t="s">
        <v>11</v>
      </c>
      <c r="B16" s="225"/>
      <c r="C16" s="110"/>
      <c r="D16" s="110"/>
      <c r="E16" s="110"/>
      <c r="F16" s="110"/>
      <c r="G16" s="226"/>
      <c r="H16" s="120"/>
      <c r="S16" s="3"/>
      <c r="T16" s="3"/>
    </row>
    <row r="17" spans="1:10" ht="13.35" customHeight="1" thickBot="1">
      <c r="A17" s="100"/>
      <c r="B17" s="118"/>
      <c r="C17" s="105"/>
      <c r="D17" s="105"/>
      <c r="E17" s="105"/>
      <c r="F17" s="105"/>
      <c r="G17" s="111"/>
      <c r="H17" s="120"/>
    </row>
    <row r="18" spans="1:10" ht="13.35" customHeight="1" thickBot="1">
      <c r="A18" s="114"/>
      <c r="B18" s="113"/>
      <c r="C18" s="115"/>
      <c r="D18" s="115"/>
      <c r="E18" s="115"/>
      <c r="F18" s="115"/>
      <c r="G18" s="116"/>
      <c r="H18" s="120"/>
    </row>
    <row r="19" spans="1:10" ht="13.35" customHeight="1">
      <c r="A19" s="100"/>
      <c r="B19" s="103">
        <v>14</v>
      </c>
      <c r="C19" s="103">
        <v>15</v>
      </c>
      <c r="D19" s="103">
        <v>16</v>
      </c>
      <c r="E19" s="103">
        <v>17</v>
      </c>
      <c r="F19" s="103">
        <v>18</v>
      </c>
      <c r="G19" s="102">
        <v>19</v>
      </c>
      <c r="H19" s="103">
        <v>20</v>
      </c>
    </row>
    <row r="20" spans="1:10" ht="13.35" customHeight="1">
      <c r="A20" s="104" t="s">
        <v>7</v>
      </c>
      <c r="B20" s="106" t="s">
        <v>209</v>
      </c>
      <c r="C20" s="106" t="s">
        <v>135</v>
      </c>
      <c r="D20" s="4" t="s">
        <v>35</v>
      </c>
      <c r="E20" s="106" t="s">
        <v>137</v>
      </c>
      <c r="F20" s="106" t="s">
        <v>135</v>
      </c>
      <c r="G20" s="106" t="s">
        <v>35</v>
      </c>
      <c r="H20" s="106" t="s">
        <v>137</v>
      </c>
      <c r="J20" s="61"/>
    </row>
    <row r="21" spans="1:10" ht="13.35" customHeight="1">
      <c r="A21" s="223" t="s">
        <v>8</v>
      </c>
      <c r="B21" s="106" t="s">
        <v>134</v>
      </c>
      <c r="C21" s="108"/>
      <c r="D21" s="108"/>
      <c r="E21" s="108"/>
      <c r="F21" s="108"/>
      <c r="G21" s="108"/>
      <c r="H21" s="108"/>
    </row>
    <row r="22" spans="1:10" ht="12.75" customHeight="1">
      <c r="A22" s="107" t="s">
        <v>9</v>
      </c>
      <c r="B22" s="204" t="s">
        <v>26</v>
      </c>
      <c r="C22" s="62" t="s">
        <v>24</v>
      </c>
      <c r="D22" s="26" t="s">
        <v>146</v>
      </c>
      <c r="E22" s="2" t="s">
        <v>26</v>
      </c>
      <c r="F22" s="18" t="s">
        <v>146</v>
      </c>
      <c r="G22" s="18" t="s">
        <v>24</v>
      </c>
      <c r="H22" s="18" t="s">
        <v>146</v>
      </c>
    </row>
    <row r="23" spans="1:10" ht="13.35" customHeight="1">
      <c r="A23" s="107" t="s">
        <v>10</v>
      </c>
      <c r="B23" s="108"/>
      <c r="C23" s="108"/>
      <c r="D23" s="108"/>
      <c r="E23" s="109" t="s">
        <v>134</v>
      </c>
      <c r="F23" s="108"/>
      <c r="G23" s="108"/>
      <c r="H23" s="108"/>
    </row>
    <row r="24" spans="1:10" ht="13.35" customHeight="1" thickBot="1">
      <c r="A24" s="130" t="s">
        <v>11</v>
      </c>
      <c r="B24" s="225"/>
      <c r="C24" s="110" t="s">
        <v>36</v>
      </c>
      <c r="D24" s="110" t="s">
        <v>36</v>
      </c>
      <c r="E24" s="110" t="s">
        <v>36</v>
      </c>
      <c r="F24" s="335" t="s">
        <v>36</v>
      </c>
      <c r="G24" s="110" t="s">
        <v>247</v>
      </c>
      <c r="H24" s="120"/>
    </row>
    <row r="25" spans="1:10" ht="13.35" customHeight="1" thickBot="1">
      <c r="A25" s="100"/>
      <c r="B25" s="118"/>
      <c r="C25" s="105" t="s">
        <v>136</v>
      </c>
      <c r="D25" s="105" t="s">
        <v>136</v>
      </c>
      <c r="E25" s="105" t="s">
        <v>136</v>
      </c>
      <c r="F25" s="336" t="s">
        <v>136</v>
      </c>
      <c r="G25" s="105" t="s">
        <v>36</v>
      </c>
      <c r="H25" s="120"/>
    </row>
    <row r="26" spans="1:10" ht="12.75" customHeight="1" thickBot="1">
      <c r="A26" s="114"/>
      <c r="B26" s="113"/>
      <c r="C26" s="115"/>
      <c r="D26" s="115"/>
      <c r="E26" s="115"/>
      <c r="F26" s="115"/>
      <c r="G26" s="115" t="s">
        <v>136</v>
      </c>
      <c r="H26" s="120"/>
    </row>
    <row r="27" spans="1:10" ht="13.35" customHeight="1">
      <c r="A27" s="100"/>
      <c r="B27" s="103">
        <v>21</v>
      </c>
      <c r="C27" s="103">
        <v>22</v>
      </c>
      <c r="D27" s="103">
        <v>23</v>
      </c>
      <c r="E27" s="103">
        <v>24</v>
      </c>
      <c r="F27" s="103">
        <v>25</v>
      </c>
      <c r="G27" s="102">
        <v>26</v>
      </c>
      <c r="H27" s="103">
        <v>27</v>
      </c>
    </row>
    <row r="28" spans="1:10" ht="13.35" customHeight="1">
      <c r="A28" s="104" t="s">
        <v>7</v>
      </c>
      <c r="B28" s="106" t="s">
        <v>137</v>
      </c>
      <c r="C28" s="106" t="s">
        <v>134</v>
      </c>
      <c r="D28" s="4" t="s">
        <v>35</v>
      </c>
      <c r="E28" s="106" t="s">
        <v>135</v>
      </c>
      <c r="F28" s="106" t="s">
        <v>134</v>
      </c>
      <c r="G28" s="106" t="s">
        <v>135</v>
      </c>
      <c r="H28" s="106" t="s">
        <v>136</v>
      </c>
    </row>
    <row r="29" spans="1:10" ht="13.35" customHeight="1">
      <c r="A29" s="223" t="s">
        <v>8</v>
      </c>
      <c r="B29" s="106" t="s">
        <v>35</v>
      </c>
      <c r="C29" s="108"/>
      <c r="D29" s="108"/>
      <c r="E29" s="108"/>
      <c r="F29" s="108"/>
      <c r="G29" s="108"/>
      <c r="H29" s="108"/>
    </row>
    <row r="30" spans="1:10" ht="12.75" customHeight="1">
      <c r="A30" s="107" t="s">
        <v>9</v>
      </c>
      <c r="B30" s="109" t="s">
        <v>146</v>
      </c>
      <c r="C30" s="106" t="s">
        <v>24</v>
      </c>
      <c r="D30" s="13" t="s">
        <v>146</v>
      </c>
      <c r="E30" s="13" t="s">
        <v>146</v>
      </c>
      <c r="F30" s="13" t="s">
        <v>24</v>
      </c>
      <c r="G30" s="13" t="s">
        <v>24</v>
      </c>
      <c r="H30" s="109" t="s">
        <v>24</v>
      </c>
    </row>
    <row r="31" spans="1:10" ht="12.75" customHeight="1">
      <c r="A31" s="107" t="s">
        <v>10</v>
      </c>
      <c r="B31" s="108"/>
      <c r="C31" s="108"/>
      <c r="D31" s="108"/>
      <c r="E31" s="109" t="s">
        <v>202</v>
      </c>
      <c r="F31" s="108"/>
      <c r="G31" s="108"/>
      <c r="H31" s="108"/>
    </row>
    <row r="32" spans="1:10" ht="13.35" customHeight="1">
      <c r="A32" s="107" t="s">
        <v>33</v>
      </c>
      <c r="B32" s="221"/>
      <c r="C32" s="108"/>
      <c r="D32" s="108"/>
      <c r="E32" s="109"/>
      <c r="F32" s="108"/>
      <c r="G32" s="108"/>
      <c r="H32" s="108"/>
    </row>
    <row r="33" spans="1:8" ht="12.75" customHeight="1" thickBot="1">
      <c r="A33" s="100" t="s">
        <v>11</v>
      </c>
      <c r="B33" s="118"/>
      <c r="C33" s="336" t="s">
        <v>25</v>
      </c>
      <c r="D33" s="336" t="s">
        <v>25</v>
      </c>
      <c r="E33" s="336" t="s">
        <v>25</v>
      </c>
      <c r="F33" s="336" t="s">
        <v>25</v>
      </c>
      <c r="G33" s="105" t="s">
        <v>25</v>
      </c>
      <c r="H33" s="120"/>
    </row>
    <row r="34" spans="1:8" ht="13.35" customHeight="1" thickBot="1">
      <c r="A34" s="100"/>
      <c r="B34" s="118"/>
      <c r="C34" s="105" t="s">
        <v>203</v>
      </c>
      <c r="D34" s="105" t="s">
        <v>203</v>
      </c>
      <c r="E34" s="105" t="s">
        <v>26</v>
      </c>
      <c r="F34" s="105" t="s">
        <v>26</v>
      </c>
      <c r="G34" s="105" t="s">
        <v>26</v>
      </c>
      <c r="H34" s="120"/>
    </row>
    <row r="35" spans="1:8" ht="13.35" customHeight="1" thickBot="1">
      <c r="A35" s="100"/>
      <c r="B35" s="118"/>
      <c r="C35" s="105"/>
      <c r="D35" s="105"/>
      <c r="E35" s="105" t="s">
        <v>203</v>
      </c>
      <c r="F35" s="105" t="s">
        <v>258</v>
      </c>
      <c r="G35" s="105" t="s">
        <v>246</v>
      </c>
      <c r="H35" s="356"/>
    </row>
    <row r="36" spans="1:8" ht="13.35" customHeight="1" thickBot="1">
      <c r="A36" s="114"/>
      <c r="B36" s="113"/>
      <c r="C36" s="115"/>
      <c r="D36" s="115"/>
      <c r="E36" s="115"/>
      <c r="F36" s="115" t="s">
        <v>203</v>
      </c>
      <c r="G36" s="115" t="s">
        <v>203</v>
      </c>
      <c r="H36" s="113"/>
    </row>
    <row r="37" spans="1:8" ht="13.35" customHeight="1">
      <c r="A37" s="100"/>
      <c r="B37" s="103">
        <v>28</v>
      </c>
      <c r="C37" s="103">
        <v>29</v>
      </c>
      <c r="D37" s="103">
        <v>30</v>
      </c>
      <c r="E37" s="121"/>
      <c r="F37" s="121"/>
      <c r="G37" s="168"/>
      <c r="H37" s="122"/>
    </row>
    <row r="38" spans="1:8" ht="13.35" customHeight="1">
      <c r="A38" s="104" t="s">
        <v>7</v>
      </c>
      <c r="B38" s="106" t="s">
        <v>136</v>
      </c>
      <c r="C38" s="106" t="s">
        <v>134</v>
      </c>
      <c r="D38" s="106" t="s">
        <v>36</v>
      </c>
      <c r="H38" s="112"/>
    </row>
    <row r="39" spans="1:8" ht="12.75" customHeight="1">
      <c r="A39" s="223" t="s">
        <v>8</v>
      </c>
      <c r="B39" s="106" t="s">
        <v>213</v>
      </c>
      <c r="C39" s="108"/>
      <c r="D39" s="108"/>
      <c r="H39" s="112"/>
    </row>
    <row r="40" spans="1:8" ht="12.75" customHeight="1">
      <c r="A40" s="107" t="s">
        <v>9</v>
      </c>
      <c r="B40" s="109" t="s">
        <v>24</v>
      </c>
      <c r="C40" s="109" t="s">
        <v>25</v>
      </c>
      <c r="D40" s="109" t="s">
        <v>26</v>
      </c>
      <c r="H40" s="112"/>
    </row>
    <row r="41" spans="1:8" ht="12.75" customHeight="1">
      <c r="A41" s="107" t="s">
        <v>10</v>
      </c>
      <c r="B41" s="108"/>
      <c r="C41" s="108"/>
      <c r="D41" s="108"/>
      <c r="H41" s="112"/>
    </row>
    <row r="42" spans="1:8">
      <c r="A42" s="100" t="s">
        <v>11</v>
      </c>
      <c r="B42" s="118"/>
      <c r="C42" s="105" t="s">
        <v>260</v>
      </c>
      <c r="D42" s="105"/>
      <c r="H42" s="112"/>
    </row>
    <row r="43" spans="1:8" ht="13.35" customHeight="1">
      <c r="A43" s="100"/>
      <c r="B43" s="118"/>
      <c r="C43" s="105"/>
      <c r="D43" s="105"/>
      <c r="H43" s="112"/>
    </row>
    <row r="44" spans="1:8" ht="13.35" customHeight="1" thickBot="1">
      <c r="A44" s="114"/>
      <c r="B44" s="113"/>
      <c r="C44" s="115"/>
      <c r="D44" s="115"/>
      <c r="E44" s="123"/>
      <c r="F44" s="123"/>
      <c r="G44" s="123"/>
      <c r="H44" s="117"/>
    </row>
    <row r="45" spans="1:8" ht="13.35" customHeight="1">
      <c r="A45" s="227" t="s">
        <v>17</v>
      </c>
      <c r="H45" s="228" t="s">
        <v>261</v>
      </c>
    </row>
    <row r="46" spans="1:8" ht="13.35" customHeight="1">
      <c r="A46" s="4" t="s">
        <v>22</v>
      </c>
      <c r="G46" s="229" t="s">
        <v>13</v>
      </c>
    </row>
    <row r="47" spans="1:8" ht="13.35" customHeight="1">
      <c r="A47" s="230"/>
      <c r="C47" s="193"/>
      <c r="D47" s="193"/>
      <c r="E47" s="193"/>
      <c r="F47" s="193"/>
      <c r="G47" s="193"/>
      <c r="H47" s="193"/>
    </row>
    <row r="48" spans="1:8">
      <c r="A48" s="230"/>
      <c r="B48" s="193"/>
    </row>
    <row r="49" spans="1:23" s="2" customFormat="1" ht="12" customHeight="1">
      <c r="A49" s="39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</row>
    <row r="50" spans="1:23" s="2" customFormat="1" ht="12" customHeight="1">
      <c r="A50" s="178" t="s">
        <v>92</v>
      </c>
      <c r="B50" s="51"/>
      <c r="C50" s="51"/>
      <c r="D50" s="51"/>
      <c r="E50" s="51"/>
      <c r="F50" s="51"/>
      <c r="G50" s="51"/>
      <c r="H50" s="51"/>
      <c r="J50" s="3"/>
      <c r="K50" s="3"/>
      <c r="L50" s="3"/>
      <c r="M50" s="3"/>
      <c r="N50" s="3"/>
      <c r="O50" s="3"/>
      <c r="P50" s="3"/>
      <c r="Q50" s="3"/>
      <c r="R50" s="3"/>
      <c r="S50" s="4"/>
      <c r="T50" s="4"/>
      <c r="U50" s="4"/>
      <c r="V50" s="4"/>
      <c r="W50" s="4"/>
    </row>
    <row r="51" spans="1:23" s="2" customFormat="1" ht="12" customHeight="1" thickBot="1">
      <c r="A51" s="51" t="s">
        <v>139</v>
      </c>
      <c r="B51" s="51"/>
      <c r="C51" s="51"/>
      <c r="D51" s="51"/>
      <c r="E51" s="51"/>
      <c r="F51" s="51"/>
      <c r="G51" s="51"/>
      <c r="H51" s="51"/>
      <c r="J51" s="3"/>
      <c r="K51" s="3"/>
      <c r="L51" s="3"/>
      <c r="M51" s="3"/>
      <c r="N51" s="3"/>
      <c r="O51" s="3"/>
      <c r="P51" s="3"/>
      <c r="Q51" s="3"/>
      <c r="R51" s="3"/>
      <c r="S51" s="4"/>
      <c r="T51" s="4"/>
      <c r="U51" s="4"/>
      <c r="V51" s="4"/>
      <c r="W51" s="4"/>
    </row>
    <row r="52" spans="1:23" s="2" customFormat="1" ht="12" customHeight="1">
      <c r="A52" s="75" t="s">
        <v>14</v>
      </c>
      <c r="B52" s="81"/>
      <c r="C52" s="175" t="s">
        <v>1</v>
      </c>
      <c r="D52" s="175" t="s">
        <v>2</v>
      </c>
      <c r="E52" s="175" t="s">
        <v>3</v>
      </c>
      <c r="F52" s="175" t="s">
        <v>4</v>
      </c>
      <c r="G52" s="175" t="s">
        <v>5</v>
      </c>
      <c r="H52" s="51"/>
      <c r="J52" s="3"/>
      <c r="K52" s="3"/>
      <c r="L52" s="3"/>
      <c r="M52" s="3"/>
      <c r="N52" s="3"/>
      <c r="O52" s="3"/>
      <c r="P52" s="3"/>
      <c r="Q52" s="3"/>
      <c r="R52" s="3"/>
      <c r="S52" s="4"/>
      <c r="T52" s="4"/>
      <c r="U52" s="4"/>
      <c r="V52" s="4"/>
      <c r="W52" s="4"/>
    </row>
    <row r="53" spans="1:23" s="2" customFormat="1" ht="12" customHeight="1">
      <c r="A53" s="75"/>
      <c r="B53" s="173" t="s">
        <v>32</v>
      </c>
      <c r="C53" s="59"/>
      <c r="D53" s="174"/>
      <c r="E53" s="174"/>
      <c r="F53" s="174"/>
      <c r="G53" s="174"/>
      <c r="H53" s="51"/>
      <c r="J53" s="3"/>
      <c r="K53" s="3"/>
      <c r="L53" s="3"/>
      <c r="M53" s="3"/>
      <c r="N53" s="3"/>
      <c r="O53" s="3"/>
      <c r="P53" s="3"/>
      <c r="Q53" s="3"/>
      <c r="R53" s="3"/>
      <c r="S53" s="4"/>
      <c r="T53" s="4"/>
      <c r="U53" s="4"/>
      <c r="V53" s="4"/>
      <c r="W53" s="4"/>
    </row>
    <row r="54" spans="1:23" s="2" customFormat="1" ht="12" customHeight="1">
      <c r="A54" s="39"/>
      <c r="B54" s="173" t="s">
        <v>15</v>
      </c>
      <c r="C54" s="170" t="s">
        <v>34</v>
      </c>
      <c r="D54" s="170" t="s">
        <v>137</v>
      </c>
      <c r="E54" s="170" t="s">
        <v>134</v>
      </c>
      <c r="F54" s="170" t="s">
        <v>36</v>
      </c>
      <c r="G54" s="170" t="s">
        <v>35</v>
      </c>
      <c r="J54" s="3"/>
      <c r="K54" s="3"/>
      <c r="L54" s="3"/>
      <c r="M54" s="3"/>
      <c r="N54" s="3"/>
      <c r="O54" s="3"/>
      <c r="P54" s="3"/>
      <c r="Q54" s="3"/>
      <c r="R54" s="3"/>
      <c r="S54" s="4"/>
      <c r="T54" s="4"/>
      <c r="U54" s="4"/>
      <c r="V54" s="4"/>
      <c r="W54" s="4"/>
    </row>
    <row r="55" spans="1:23" s="2" customFormat="1" ht="15">
      <c r="A55" s="39"/>
      <c r="B55" s="231"/>
      <c r="C55" s="233"/>
      <c r="D55" s="233"/>
      <c r="E55" s="233"/>
      <c r="F55" s="233" t="s">
        <v>136</v>
      </c>
      <c r="G55" s="233" t="s">
        <v>135</v>
      </c>
      <c r="J55" s="3"/>
      <c r="K55" s="3"/>
      <c r="L55" s="3"/>
      <c r="M55" s="3"/>
      <c r="N55" s="3"/>
      <c r="O55" s="3"/>
      <c r="P55" s="3"/>
      <c r="Q55" s="3"/>
      <c r="R55" s="3"/>
      <c r="S55" s="4"/>
      <c r="T55" s="4"/>
      <c r="U55" s="4"/>
      <c r="V55" s="4"/>
      <c r="W55" s="4"/>
    </row>
    <row r="56" spans="1:23" s="2" customFormat="1" ht="15">
      <c r="A56" s="39"/>
      <c r="B56" s="231"/>
      <c r="C56" s="193"/>
      <c r="D56" s="193"/>
      <c r="E56" s="193"/>
      <c r="F56" s="193"/>
      <c r="G56" s="19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</row>
    <row r="57" spans="1:23">
      <c r="A57" s="4" t="s">
        <v>103</v>
      </c>
    </row>
  </sheetData>
  <mergeCells count="1">
    <mergeCell ref="B1:H1"/>
  </mergeCells>
  <phoneticPr fontId="3" type="noConversion"/>
  <pageMargins left="0.3" right="0.25" top="0.6" bottom="0.25" header="0.3" footer="0.3"/>
  <pageSetup scale="78" orientation="landscape" r:id="rId1"/>
  <headerFooter>
    <oddHeader>&amp;C&amp;"Times New Roman,Bold"Ophthalmology Resident Call/Rounds Presentation/Vacation Schedule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2"/>
  <sheetViews>
    <sheetView zoomScale="82" zoomScaleNormal="82" zoomScalePageLayoutView="150" workbookViewId="0"/>
  </sheetViews>
  <sheetFormatPr defaultColWidth="8.7109375" defaultRowHeight="12"/>
  <cols>
    <col min="1" max="8" width="18.7109375" style="4" customWidth="1"/>
    <col min="9" max="20" width="8.7109375" style="4"/>
    <col min="21" max="21" width="8.7109375" style="41"/>
    <col min="22" max="16384" width="8.7109375" style="4"/>
  </cols>
  <sheetData>
    <row r="1" spans="1:21" ht="15" customHeight="1" thickBot="1">
      <c r="B1" s="407" t="s">
        <v>106</v>
      </c>
      <c r="C1" s="408"/>
      <c r="D1" s="408"/>
      <c r="E1" s="408"/>
      <c r="F1" s="408"/>
      <c r="G1" s="408"/>
      <c r="H1" s="408"/>
      <c r="J1" s="3" t="s">
        <v>150</v>
      </c>
      <c r="K1" s="3" t="s">
        <v>67</v>
      </c>
      <c r="L1" s="3" t="s">
        <v>158</v>
      </c>
      <c r="M1" s="3" t="s">
        <v>153</v>
      </c>
      <c r="N1" s="3"/>
      <c r="O1" s="3" t="s">
        <v>183</v>
      </c>
      <c r="P1" s="3" t="s">
        <v>57</v>
      </c>
      <c r="Q1" s="3" t="s">
        <v>184</v>
      </c>
      <c r="R1" s="3" t="s">
        <v>185</v>
      </c>
      <c r="S1" s="3"/>
      <c r="T1" s="3" t="s">
        <v>188</v>
      </c>
      <c r="U1" s="3"/>
    </row>
    <row r="2" spans="1:21" ht="12.75" customHeight="1" thickBot="1">
      <c r="A2" s="98"/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  <c r="J2" s="3" t="s">
        <v>137</v>
      </c>
      <c r="K2" s="3" t="s">
        <v>163</v>
      </c>
      <c r="L2" s="3" t="s">
        <v>178</v>
      </c>
      <c r="M2" s="3" t="s">
        <v>176</v>
      </c>
      <c r="N2" s="3"/>
      <c r="O2" s="3">
        <f>COUNTIF(C4:G51, "Jones")+1</f>
        <v>8</v>
      </c>
      <c r="P2" s="3">
        <f>COUNTIF(H4:H51, "Jones")</f>
        <v>0</v>
      </c>
      <c r="Q2" s="3">
        <f>O2+'September 2025'!Q2</f>
        <v>13</v>
      </c>
      <c r="R2" s="3">
        <f>'October 2025'!P2+'September 2025'!R2</f>
        <v>2</v>
      </c>
      <c r="S2" s="3"/>
      <c r="T2" s="3">
        <f>SUM(O2:P10)</f>
        <v>35</v>
      </c>
      <c r="U2" s="3"/>
    </row>
    <row r="3" spans="1:21" ht="13.35" customHeight="1">
      <c r="A3" s="100"/>
      <c r="B3" s="234"/>
      <c r="C3" s="168"/>
      <c r="D3" s="122"/>
      <c r="E3" s="103">
        <v>1</v>
      </c>
      <c r="F3" s="103">
        <v>2</v>
      </c>
      <c r="G3" s="102">
        <v>3</v>
      </c>
      <c r="H3" s="103">
        <v>4</v>
      </c>
      <c r="J3" s="3" t="s">
        <v>134</v>
      </c>
      <c r="K3" s="3" t="s">
        <v>154</v>
      </c>
      <c r="L3" s="3" t="s">
        <v>172</v>
      </c>
      <c r="M3" s="3" t="s">
        <v>159</v>
      </c>
      <c r="N3" s="3"/>
      <c r="O3" s="3">
        <f>COUNTIF(C4:G51, "Moezzi")</f>
        <v>6</v>
      </c>
      <c r="P3" s="3">
        <f>COUNTIF(H4:H52, "Moezzi")</f>
        <v>1</v>
      </c>
      <c r="Q3" s="3">
        <f>O3+'September 2025'!Q3</f>
        <v>14</v>
      </c>
      <c r="R3" s="3">
        <f>'October 2025'!P3+'September 2025'!R3</f>
        <v>2</v>
      </c>
      <c r="S3" s="3"/>
      <c r="T3" s="3"/>
      <c r="U3" s="3"/>
    </row>
    <row r="4" spans="1:21" ht="13.35" customHeight="1">
      <c r="A4" s="104" t="s">
        <v>7</v>
      </c>
      <c r="B4" s="127"/>
      <c r="D4" s="112"/>
      <c r="E4" s="106" t="s">
        <v>135</v>
      </c>
      <c r="F4" s="106" t="s">
        <v>35</v>
      </c>
      <c r="G4" s="4" t="s">
        <v>134</v>
      </c>
      <c r="H4" s="106" t="s">
        <v>35</v>
      </c>
      <c r="J4" s="3" t="s">
        <v>135</v>
      </c>
      <c r="K4" s="3" t="s">
        <v>164</v>
      </c>
      <c r="L4" s="3" t="s">
        <v>167</v>
      </c>
      <c r="M4" s="3" t="s">
        <v>69</v>
      </c>
      <c r="N4" s="3"/>
      <c r="O4" s="3">
        <f>COUNTIF(C4:G51,"Tung")-1</f>
        <v>5</v>
      </c>
      <c r="P4" s="3">
        <f>COUNTIF(H4:H51, "Tung")</f>
        <v>1</v>
      </c>
      <c r="Q4" s="3">
        <f>O4+'September 2025'!Q4</f>
        <v>16</v>
      </c>
      <c r="R4" s="3">
        <f>'October 2025'!P4+'September 2025'!R4</f>
        <v>2</v>
      </c>
      <c r="S4" s="52"/>
      <c r="T4" s="52"/>
      <c r="U4" s="3"/>
    </row>
    <row r="5" spans="1:21" ht="13.35" customHeight="1">
      <c r="A5" s="223" t="s">
        <v>8</v>
      </c>
      <c r="B5" s="127"/>
      <c r="D5" s="112"/>
      <c r="E5" s="97"/>
      <c r="F5" s="108"/>
      <c r="G5" s="108"/>
      <c r="H5" s="108"/>
      <c r="J5" s="3" t="s">
        <v>136</v>
      </c>
      <c r="K5" s="3" t="s">
        <v>168</v>
      </c>
      <c r="L5" s="3" t="s">
        <v>179</v>
      </c>
      <c r="M5" s="3"/>
      <c r="N5" s="3"/>
      <c r="O5" s="3">
        <f>COUNTIF(C4:G51, "Wen")+1</f>
        <v>5</v>
      </c>
      <c r="P5" s="3">
        <f>COUNTIF(H4:H51, "Wen")</f>
        <v>0</v>
      </c>
      <c r="Q5" s="3">
        <f>O5+'September 2025'!Q5</f>
        <v>12</v>
      </c>
      <c r="R5" s="3">
        <f>'October 2025'!P5+'September 2025'!R5</f>
        <v>2</v>
      </c>
      <c r="S5" s="3"/>
      <c r="T5" s="3"/>
      <c r="U5" s="3"/>
    </row>
    <row r="6" spans="1:21" ht="13.35" customHeight="1">
      <c r="A6" s="107" t="s">
        <v>9</v>
      </c>
      <c r="B6" s="127"/>
      <c r="D6" s="112"/>
      <c r="E6" s="13" t="s">
        <v>24</v>
      </c>
      <c r="F6" s="13" t="s">
        <v>146</v>
      </c>
      <c r="G6" s="13" t="s">
        <v>25</v>
      </c>
      <c r="H6" s="13" t="s">
        <v>146</v>
      </c>
      <c r="J6" s="3" t="s">
        <v>151</v>
      </c>
      <c r="K6" s="3" t="s">
        <v>67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3.35" customHeight="1">
      <c r="A7" s="107" t="s">
        <v>10</v>
      </c>
      <c r="B7" s="127"/>
      <c r="D7" s="112"/>
      <c r="E7" s="224" t="s">
        <v>62</v>
      </c>
      <c r="F7" s="108"/>
      <c r="G7" s="108"/>
      <c r="H7" s="108"/>
      <c r="J7" s="3" t="s">
        <v>35</v>
      </c>
      <c r="K7" s="3" t="s">
        <v>181</v>
      </c>
      <c r="L7" s="3" t="s">
        <v>177</v>
      </c>
      <c r="M7" s="3" t="s">
        <v>69</v>
      </c>
      <c r="N7" s="3"/>
      <c r="O7" s="3">
        <f>COUNTIF(C3:G51, "Miller")-1-4</f>
        <v>3</v>
      </c>
      <c r="P7" s="3">
        <f>COUNTIF(H3:H56, "Miller")-1</f>
        <v>1</v>
      </c>
      <c r="Q7" s="3">
        <f>O7+'September 2025'!Q7</f>
        <v>11</v>
      </c>
      <c r="R7" s="3">
        <f>P7+'September 2025'!R7</f>
        <v>2</v>
      </c>
      <c r="S7" s="3"/>
      <c r="T7" s="3"/>
      <c r="U7" s="3"/>
    </row>
    <row r="8" spans="1:21" ht="13.35" customHeight="1" thickBot="1">
      <c r="A8" s="100" t="s">
        <v>11</v>
      </c>
      <c r="B8" s="127"/>
      <c r="D8" s="112"/>
      <c r="E8" s="110"/>
      <c r="F8" s="335" t="s">
        <v>26</v>
      </c>
      <c r="G8" s="335" t="s">
        <v>26</v>
      </c>
      <c r="H8" s="129"/>
      <c r="J8" s="3" t="s">
        <v>36</v>
      </c>
      <c r="K8" s="3" t="s">
        <v>157</v>
      </c>
      <c r="L8" s="3" t="s">
        <v>69</v>
      </c>
      <c r="M8" s="3" t="s">
        <v>175</v>
      </c>
      <c r="N8" s="3"/>
      <c r="O8" s="3">
        <f>COUNTIF(C3:G51, "Philbrick")</f>
        <v>3</v>
      </c>
      <c r="P8" s="3">
        <f>COUNTIF(H3:H57, "Philbrick")</f>
        <v>1</v>
      </c>
      <c r="Q8" s="3">
        <f>O8+'September 2025'!Q8</f>
        <v>15</v>
      </c>
      <c r="R8" s="3">
        <f>P8+'September 2025'!R8</f>
        <v>3</v>
      </c>
      <c r="S8" s="3"/>
      <c r="T8" s="3"/>
      <c r="U8" s="3"/>
    </row>
    <row r="9" spans="1:21" ht="13.35" customHeight="1" thickBot="1">
      <c r="A9" s="131"/>
      <c r="B9" s="127"/>
      <c r="D9" s="112"/>
      <c r="E9" s="235"/>
      <c r="F9" s="236" t="s">
        <v>222</v>
      </c>
      <c r="G9" s="112"/>
      <c r="H9" s="237"/>
      <c r="J9" s="3" t="s">
        <v>72</v>
      </c>
      <c r="K9" s="3" t="s">
        <v>155</v>
      </c>
      <c r="L9" s="3" t="s">
        <v>167</v>
      </c>
      <c r="M9" s="3" t="s">
        <v>69</v>
      </c>
      <c r="N9" s="3"/>
      <c r="O9" s="3">
        <f>COUNTIF(C3:G51, "Sears")-1</f>
        <v>1</v>
      </c>
      <c r="P9" s="3">
        <f>COUNTIF(H4:H56, "Sears")</f>
        <v>0</v>
      </c>
      <c r="Q9" s="3">
        <f>O9+'September 2025'!Q9</f>
        <v>16</v>
      </c>
      <c r="R9" s="3">
        <f>P9+'September 2025'!R9</f>
        <v>2</v>
      </c>
      <c r="S9" s="3"/>
      <c r="T9" s="3"/>
      <c r="U9" s="3"/>
    </row>
    <row r="10" spans="1:21" ht="13.35" customHeight="1" thickBot="1">
      <c r="A10" s="134"/>
      <c r="B10" s="128"/>
      <c r="C10" s="321"/>
      <c r="D10" s="320"/>
      <c r="E10" s="123"/>
      <c r="F10" s="115"/>
      <c r="G10" s="117"/>
      <c r="H10" s="238"/>
      <c r="J10" s="3" t="s">
        <v>34</v>
      </c>
      <c r="K10" s="3" t="s">
        <v>173</v>
      </c>
      <c r="L10" s="3"/>
      <c r="M10" s="3"/>
      <c r="N10" s="3"/>
      <c r="O10" s="3">
        <f>COUNTIF(C3:G51, "Thompson")</f>
        <v>0</v>
      </c>
      <c r="P10" s="3">
        <f>COUNTIF(H3:H56, "Thompson")</f>
        <v>0</v>
      </c>
      <c r="Q10" s="3">
        <f>O10+'September 2025'!Q10</f>
        <v>12</v>
      </c>
      <c r="R10" s="3">
        <f>P10+'September 2025'!R10</f>
        <v>1</v>
      </c>
      <c r="S10" s="3"/>
      <c r="T10" s="3"/>
      <c r="U10" s="3"/>
    </row>
    <row r="11" spans="1:21" ht="13.35" customHeight="1">
      <c r="A11" s="100"/>
      <c r="B11" s="102">
        <v>5</v>
      </c>
      <c r="C11" s="102">
        <v>6</v>
      </c>
      <c r="D11" s="103">
        <v>7</v>
      </c>
      <c r="E11" s="103">
        <v>8</v>
      </c>
      <c r="F11" s="103">
        <v>9</v>
      </c>
      <c r="G11" s="102" t="s">
        <v>199</v>
      </c>
      <c r="H11" s="103">
        <v>11</v>
      </c>
      <c r="J11" s="3" t="s">
        <v>152</v>
      </c>
      <c r="K11" s="3" t="s">
        <v>67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3.35" customHeight="1">
      <c r="A12" s="104" t="s">
        <v>7</v>
      </c>
      <c r="B12" s="106" t="s">
        <v>35</v>
      </c>
      <c r="C12" s="4" t="s">
        <v>136</v>
      </c>
      <c r="D12" s="106" t="s">
        <v>135</v>
      </c>
      <c r="E12" s="106" t="s">
        <v>134</v>
      </c>
      <c r="F12" s="106" t="s">
        <v>137</v>
      </c>
      <c r="G12" s="106" t="s">
        <v>135</v>
      </c>
      <c r="H12" s="106" t="s">
        <v>134</v>
      </c>
      <c r="J12" s="3" t="s">
        <v>24</v>
      </c>
      <c r="K12" s="3" t="s">
        <v>168</v>
      </c>
      <c r="L12" s="3" t="s">
        <v>191</v>
      </c>
      <c r="M12" s="3" t="s">
        <v>192</v>
      </c>
      <c r="N12" s="3"/>
      <c r="O12" s="3">
        <f>COUNTIF(C3:G51,"Dieu")</f>
        <v>5</v>
      </c>
      <c r="P12" s="3">
        <f>COUNTIF(H3:H33,"Dieu")</f>
        <v>2</v>
      </c>
      <c r="Q12" s="3">
        <f>O12+'September 2025'!Q12</f>
        <v>20</v>
      </c>
      <c r="R12" s="3">
        <f>P12+'September 2025'!R12</f>
        <v>5</v>
      </c>
      <c r="S12" s="3"/>
      <c r="T12" s="3"/>
      <c r="U12" s="3"/>
    </row>
    <row r="13" spans="1:21" ht="12.75" customHeight="1">
      <c r="A13" s="223" t="s">
        <v>8</v>
      </c>
      <c r="B13" s="106" t="s">
        <v>137</v>
      </c>
      <c r="C13" s="108"/>
      <c r="D13" s="97"/>
      <c r="E13" s="108"/>
      <c r="F13" s="108"/>
      <c r="G13" s="108"/>
      <c r="H13" s="108"/>
      <c r="J13" s="3" t="s">
        <v>25</v>
      </c>
      <c r="K13" s="3" t="s">
        <v>155</v>
      </c>
      <c r="L13" s="3" t="s">
        <v>190</v>
      </c>
      <c r="M13" s="3" t="s">
        <v>161</v>
      </c>
      <c r="N13" s="3"/>
      <c r="O13" s="3">
        <f>COUNTIF(C3:G51,"Huynh")</f>
        <v>7</v>
      </c>
      <c r="P13" s="3">
        <f>COUNTIF(H3:H33,"Huynh")</f>
        <v>0</v>
      </c>
      <c r="Q13" s="3">
        <f>O13+'September 2025'!Q13</f>
        <v>23</v>
      </c>
      <c r="R13" s="3">
        <f>P13+'September 2025'!R13</f>
        <v>3</v>
      </c>
      <c r="S13" s="3"/>
      <c r="T13" s="3"/>
      <c r="U13" s="3"/>
    </row>
    <row r="14" spans="1:21" ht="13.35" customHeight="1">
      <c r="A14" s="107" t="s">
        <v>9</v>
      </c>
      <c r="B14" s="109" t="s">
        <v>146</v>
      </c>
      <c r="C14" s="2" t="s">
        <v>25</v>
      </c>
      <c r="D14" s="18" t="s">
        <v>26</v>
      </c>
      <c r="E14" s="18" t="s">
        <v>146</v>
      </c>
      <c r="F14" s="18" t="s">
        <v>26</v>
      </c>
      <c r="G14" s="18" t="s">
        <v>24</v>
      </c>
      <c r="H14" s="18" t="s">
        <v>24</v>
      </c>
      <c r="J14" s="3" t="s">
        <v>26</v>
      </c>
      <c r="K14" s="3" t="s">
        <v>170</v>
      </c>
      <c r="L14" s="3" t="s">
        <v>193</v>
      </c>
      <c r="M14" s="3" t="s">
        <v>69</v>
      </c>
      <c r="N14" s="3"/>
      <c r="O14" s="3">
        <f>COUNTIF(C3:G51,"Mathew")-4</f>
        <v>7</v>
      </c>
      <c r="P14" s="3">
        <f>COUNTIF(H3:H33,"Mathew")</f>
        <v>0</v>
      </c>
      <c r="Q14" s="3">
        <f>O14+'September 2025'!Q14</f>
        <v>22</v>
      </c>
      <c r="R14" s="3">
        <f>P14+'September 2025'!R14</f>
        <v>4</v>
      </c>
      <c r="S14" s="3"/>
      <c r="T14" s="3"/>
      <c r="U14" s="3"/>
    </row>
    <row r="15" spans="1:21" ht="13.35" customHeight="1">
      <c r="A15" s="107" t="s">
        <v>10</v>
      </c>
      <c r="B15" s="108"/>
      <c r="C15" s="108"/>
      <c r="D15" s="108"/>
      <c r="E15" s="109" t="s">
        <v>137</v>
      </c>
      <c r="F15" s="108"/>
      <c r="G15" s="108"/>
      <c r="H15" s="108"/>
      <c r="J15" s="3" t="s">
        <v>146</v>
      </c>
      <c r="K15" s="3" t="s">
        <v>169</v>
      </c>
      <c r="L15" s="3"/>
      <c r="M15" s="3"/>
      <c r="N15" s="3"/>
      <c r="O15" s="3">
        <f>COUNTIF(C3:G51,"Noh")-5</f>
        <v>1</v>
      </c>
      <c r="P15" s="3">
        <f>COUNTIF(H3:H33,"Noh")</f>
        <v>1</v>
      </c>
      <c r="Q15" s="3">
        <f>O15+'September 2025'!Q15</f>
        <v>18</v>
      </c>
      <c r="R15" s="3">
        <f>P15+'September 2025'!R15</f>
        <v>4</v>
      </c>
      <c r="S15" s="3"/>
      <c r="T15" s="3"/>
      <c r="U15" s="3"/>
    </row>
    <row r="16" spans="1:21" ht="13.35" customHeight="1" thickBot="1">
      <c r="A16" s="100" t="s">
        <v>11</v>
      </c>
      <c r="B16" s="239"/>
      <c r="C16" s="105" t="s">
        <v>205</v>
      </c>
      <c r="D16" s="105" t="s">
        <v>205</v>
      </c>
      <c r="E16" s="105" t="s">
        <v>205</v>
      </c>
      <c r="F16" s="236" t="s">
        <v>262</v>
      </c>
      <c r="G16" s="337" t="s">
        <v>271</v>
      </c>
      <c r="H16" s="12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3.35" customHeight="1" thickBot="1">
      <c r="A17" s="131"/>
      <c r="B17" s="240"/>
      <c r="C17" s="105"/>
      <c r="D17" s="105"/>
      <c r="E17" s="105"/>
      <c r="F17" s="236" t="s">
        <v>205</v>
      </c>
      <c r="G17" s="337" t="s">
        <v>250</v>
      </c>
      <c r="H17" s="33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3.35" customHeight="1" thickBot="1">
      <c r="A18" s="131"/>
      <c r="B18" s="240"/>
      <c r="C18" s="105"/>
      <c r="D18" s="105"/>
      <c r="E18" s="105"/>
      <c r="F18" s="236"/>
      <c r="G18" s="236" t="s">
        <v>246</v>
      </c>
      <c r="H18" s="23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3.35" customHeight="1" thickBot="1">
      <c r="A19" s="134"/>
      <c r="B19" s="241"/>
      <c r="C19" s="115"/>
      <c r="D19" s="115"/>
      <c r="E19" s="242"/>
      <c r="F19" s="242"/>
      <c r="G19" s="115" t="s">
        <v>206</v>
      </c>
      <c r="H19" s="23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>
      <c r="A20" s="100"/>
      <c r="B20" s="103">
        <v>12</v>
      </c>
      <c r="C20" s="102" t="s">
        <v>147</v>
      </c>
      <c r="D20" s="103">
        <v>14</v>
      </c>
      <c r="E20" s="103">
        <v>15</v>
      </c>
      <c r="F20" s="103">
        <v>16</v>
      </c>
      <c r="G20" s="102" t="s">
        <v>95</v>
      </c>
      <c r="H20" s="102" t="s">
        <v>96</v>
      </c>
    </row>
    <row r="21" spans="1:21" ht="13.35" customHeight="1">
      <c r="A21" s="104" t="s">
        <v>7</v>
      </c>
      <c r="B21" s="106" t="s">
        <v>134</v>
      </c>
      <c r="C21" s="106" t="s">
        <v>36</v>
      </c>
      <c r="D21" s="106" t="s">
        <v>135</v>
      </c>
      <c r="E21" s="106" t="s">
        <v>35</v>
      </c>
      <c r="F21" s="106" t="s">
        <v>134</v>
      </c>
      <c r="G21" s="106" t="s">
        <v>137</v>
      </c>
      <c r="H21" s="106" t="s">
        <v>135</v>
      </c>
      <c r="J21" s="222"/>
    </row>
    <row r="22" spans="1:21" ht="12.75" customHeight="1">
      <c r="A22" s="223" t="s">
        <v>8</v>
      </c>
      <c r="B22" s="109" t="s">
        <v>136</v>
      </c>
      <c r="C22" s="108"/>
      <c r="D22" s="97"/>
      <c r="E22" s="108"/>
      <c r="F22" s="108"/>
      <c r="G22" s="108"/>
      <c r="H22" s="108"/>
    </row>
    <row r="23" spans="1:21" ht="13.35" customHeight="1">
      <c r="A23" s="107" t="s">
        <v>9</v>
      </c>
      <c r="B23" s="109" t="s">
        <v>24</v>
      </c>
      <c r="C23" s="109" t="s">
        <v>146</v>
      </c>
      <c r="D23" s="109" t="s">
        <v>26</v>
      </c>
      <c r="E23" s="4" t="s">
        <v>25</v>
      </c>
      <c r="F23" s="109" t="s">
        <v>72</v>
      </c>
      <c r="G23" s="109" t="s">
        <v>35</v>
      </c>
      <c r="H23" s="106" t="s">
        <v>35</v>
      </c>
    </row>
    <row r="24" spans="1:21" ht="13.35" customHeight="1">
      <c r="A24" s="107" t="s">
        <v>10</v>
      </c>
      <c r="B24" s="108"/>
      <c r="C24" s="108"/>
      <c r="D24" s="108"/>
      <c r="E24" s="109" t="s">
        <v>36</v>
      </c>
      <c r="F24" s="108"/>
      <c r="G24" s="108"/>
      <c r="H24" s="108"/>
    </row>
    <row r="25" spans="1:21" ht="13.35" customHeight="1" thickBot="1">
      <c r="A25" s="100" t="s">
        <v>11</v>
      </c>
      <c r="B25" s="239"/>
      <c r="C25" s="105" t="s">
        <v>231</v>
      </c>
      <c r="D25" s="105"/>
      <c r="E25" s="105"/>
      <c r="F25" s="105"/>
      <c r="G25" s="105" t="s">
        <v>242</v>
      </c>
      <c r="H25" s="129"/>
    </row>
    <row r="26" spans="1:21" ht="13.35" customHeight="1" thickBot="1">
      <c r="A26" s="131"/>
      <c r="B26" s="240"/>
      <c r="C26" s="105"/>
      <c r="D26" s="105"/>
      <c r="E26" s="105"/>
      <c r="F26" s="105"/>
      <c r="G26" s="105" t="s">
        <v>252</v>
      </c>
      <c r="H26" s="331"/>
    </row>
    <row r="27" spans="1:21" ht="13.35" customHeight="1" thickBot="1">
      <c r="A27" s="131"/>
      <c r="B27" s="240"/>
      <c r="C27" s="105"/>
      <c r="D27" s="105"/>
      <c r="E27" s="236"/>
      <c r="F27" s="236"/>
      <c r="G27" s="105" t="s">
        <v>244</v>
      </c>
      <c r="H27" s="238"/>
    </row>
    <row r="28" spans="1:21" ht="13.35" customHeight="1" thickBot="1">
      <c r="A28" s="134"/>
      <c r="B28" s="241"/>
      <c r="C28" s="115"/>
      <c r="D28" s="115"/>
      <c r="E28" s="242"/>
      <c r="F28" s="242"/>
      <c r="G28" s="115" t="s">
        <v>243</v>
      </c>
      <c r="H28" s="238"/>
    </row>
    <row r="29" spans="1:21" ht="13.35" customHeight="1">
      <c r="A29" s="100"/>
      <c r="B29" s="102" t="s">
        <v>97</v>
      </c>
      <c r="C29" s="102" t="s">
        <v>98</v>
      </c>
      <c r="D29" s="103">
        <v>21</v>
      </c>
      <c r="E29" s="103">
        <v>22</v>
      </c>
      <c r="F29" s="103">
        <v>23</v>
      </c>
      <c r="G29" s="243">
        <v>24</v>
      </c>
      <c r="H29" s="209">
        <v>25</v>
      </c>
      <c r="J29" s="346" t="s">
        <v>145</v>
      </c>
      <c r="K29" s="229"/>
      <c r="L29" s="229"/>
      <c r="M29" s="229"/>
      <c r="N29" s="229"/>
      <c r="O29" s="229"/>
    </row>
    <row r="30" spans="1:21" ht="13.35" customHeight="1">
      <c r="A30" s="104" t="s">
        <v>7</v>
      </c>
      <c r="B30" s="106" t="s">
        <v>135</v>
      </c>
      <c r="C30" s="106" t="s">
        <v>136</v>
      </c>
      <c r="D30" s="106" t="s">
        <v>137</v>
      </c>
      <c r="E30" s="106" t="s">
        <v>134</v>
      </c>
      <c r="F30" s="106" t="s">
        <v>36</v>
      </c>
      <c r="G30" s="244" t="s">
        <v>136</v>
      </c>
      <c r="H30" s="112" t="s">
        <v>36</v>
      </c>
      <c r="J30" s="4" t="s">
        <v>129</v>
      </c>
    </row>
    <row r="31" spans="1:21" ht="13.35" customHeight="1">
      <c r="A31" s="223" t="s">
        <v>8</v>
      </c>
      <c r="B31" s="106" t="s">
        <v>137</v>
      </c>
      <c r="C31" s="108"/>
      <c r="D31" s="97"/>
      <c r="E31" s="108"/>
      <c r="F31" s="108"/>
      <c r="G31" s="108"/>
      <c r="H31" s="245"/>
      <c r="J31" s="4" t="s">
        <v>128</v>
      </c>
    </row>
    <row r="32" spans="1:21" s="222" customFormat="1" ht="13.35" customHeight="1">
      <c r="A32" s="107" t="s">
        <v>9</v>
      </c>
      <c r="B32" s="109" t="s">
        <v>35</v>
      </c>
      <c r="C32" s="109" t="s">
        <v>25</v>
      </c>
      <c r="D32" s="109" t="s">
        <v>146</v>
      </c>
      <c r="E32" s="4" t="s">
        <v>24</v>
      </c>
      <c r="F32" s="109" t="s">
        <v>146</v>
      </c>
      <c r="G32" s="244" t="s">
        <v>24</v>
      </c>
      <c r="H32" s="112" t="s">
        <v>24</v>
      </c>
      <c r="J32" s="222" t="s">
        <v>194</v>
      </c>
      <c r="U32" s="338"/>
    </row>
    <row r="33" spans="1:21" ht="13.35" customHeight="1">
      <c r="A33" s="107" t="s">
        <v>18</v>
      </c>
      <c r="B33" s="108"/>
      <c r="C33" s="108"/>
      <c r="D33" s="108"/>
      <c r="E33" s="109" t="s">
        <v>35</v>
      </c>
      <c r="F33" s="108"/>
      <c r="G33" s="246"/>
      <c r="H33" s="247"/>
    </row>
    <row r="34" spans="1:21" ht="13.35" customHeight="1">
      <c r="A34" s="107" t="s">
        <v>33</v>
      </c>
      <c r="B34" s="221"/>
      <c r="C34" s="108"/>
      <c r="D34" s="108"/>
      <c r="E34" s="109"/>
      <c r="F34" s="108"/>
      <c r="G34" s="108"/>
      <c r="H34" s="108"/>
    </row>
    <row r="35" spans="1:21" ht="13.35" customHeight="1" thickBot="1">
      <c r="A35" s="100" t="s">
        <v>11</v>
      </c>
      <c r="B35" s="239"/>
      <c r="C35" s="105" t="s">
        <v>253</v>
      </c>
      <c r="D35" s="336" t="s">
        <v>26</v>
      </c>
      <c r="E35" s="337" t="s">
        <v>26</v>
      </c>
      <c r="F35" s="337" t="s">
        <v>271</v>
      </c>
      <c r="G35" s="337" t="s">
        <v>271</v>
      </c>
      <c r="H35" s="129"/>
    </row>
    <row r="36" spans="1:21" ht="13.35" customHeight="1" thickBot="1">
      <c r="A36" s="131"/>
      <c r="B36" s="240"/>
      <c r="C36" s="105" t="s">
        <v>254</v>
      </c>
      <c r="D36" s="105" t="s">
        <v>204</v>
      </c>
      <c r="E36" s="236" t="s">
        <v>248</v>
      </c>
      <c r="F36" s="337" t="s">
        <v>26</v>
      </c>
      <c r="G36" s="337" t="s">
        <v>26</v>
      </c>
      <c r="H36" s="331"/>
    </row>
    <row r="37" spans="1:21" ht="13.35" customHeight="1" thickBot="1">
      <c r="A37" s="131"/>
      <c r="B37" s="240"/>
      <c r="C37" s="336" t="s">
        <v>26</v>
      </c>
      <c r="D37" s="105"/>
      <c r="E37" s="236" t="s">
        <v>204</v>
      </c>
      <c r="F37" s="337" t="s">
        <v>248</v>
      </c>
      <c r="G37" s="337" t="s">
        <v>249</v>
      </c>
      <c r="H37" s="331"/>
    </row>
    <row r="38" spans="1:21" ht="13.35" customHeight="1" thickBot="1">
      <c r="A38" s="131"/>
      <c r="B38" s="240"/>
      <c r="C38" s="105" t="s">
        <v>255</v>
      </c>
      <c r="D38" s="105"/>
      <c r="E38" s="236"/>
      <c r="F38" s="236" t="s">
        <v>195</v>
      </c>
      <c r="G38" s="236" t="s">
        <v>72</v>
      </c>
      <c r="H38" s="331"/>
    </row>
    <row r="39" spans="1:21" ht="13.35" customHeight="1" thickBot="1">
      <c r="A39" s="131"/>
      <c r="B39" s="240"/>
      <c r="C39" s="105" t="s">
        <v>204</v>
      </c>
      <c r="D39" s="105"/>
      <c r="E39" s="236"/>
      <c r="F39" s="236" t="s">
        <v>196</v>
      </c>
      <c r="G39" s="337" t="s">
        <v>137</v>
      </c>
      <c r="H39" s="331"/>
    </row>
    <row r="40" spans="1:21" ht="13.35" customHeight="1" thickBot="1">
      <c r="A40" s="131"/>
      <c r="B40" s="240"/>
      <c r="C40" s="358"/>
      <c r="D40" s="112"/>
      <c r="E40" s="105"/>
      <c r="F40" s="236" t="s">
        <v>197</v>
      </c>
      <c r="G40" s="337" t="s">
        <v>134</v>
      </c>
      <c r="H40" s="237"/>
    </row>
    <row r="41" spans="1:21" ht="13.35" customHeight="1" thickBot="1">
      <c r="A41" s="131"/>
      <c r="B41" s="240"/>
      <c r="C41" s="111"/>
      <c r="D41" s="105"/>
      <c r="E41" s="236"/>
      <c r="F41" s="236" t="s">
        <v>198</v>
      </c>
      <c r="G41" s="236" t="s">
        <v>135</v>
      </c>
      <c r="H41" s="331"/>
    </row>
    <row r="42" spans="1:21" ht="13.35" customHeight="1" thickBot="1">
      <c r="A42" s="134"/>
      <c r="B42" s="241"/>
      <c r="C42" s="116"/>
      <c r="D42" s="115"/>
      <c r="E42" s="242"/>
      <c r="F42" s="242" t="s">
        <v>204</v>
      </c>
      <c r="G42" s="242" t="s">
        <v>204</v>
      </c>
      <c r="H42" s="237"/>
    </row>
    <row r="43" spans="1:21" ht="13.35" customHeight="1">
      <c r="A43" s="248"/>
      <c r="B43" s="102">
        <v>26</v>
      </c>
      <c r="C43" s="103">
        <v>27</v>
      </c>
      <c r="D43" s="103">
        <v>28</v>
      </c>
      <c r="E43" s="103">
        <v>29</v>
      </c>
      <c r="F43" s="103">
        <v>30</v>
      </c>
      <c r="G43" s="103">
        <v>31</v>
      </c>
      <c r="H43" s="249"/>
    </row>
    <row r="44" spans="1:21" ht="13.35" customHeight="1">
      <c r="A44" s="250" t="s">
        <v>7</v>
      </c>
      <c r="B44" s="195" t="s">
        <v>36</v>
      </c>
      <c r="C44" s="106" t="s">
        <v>136</v>
      </c>
      <c r="D44" s="106" t="s">
        <v>137</v>
      </c>
      <c r="E44" s="106" t="s">
        <v>135</v>
      </c>
      <c r="F44" s="106" t="s">
        <v>134</v>
      </c>
      <c r="G44" s="106" t="s">
        <v>137</v>
      </c>
      <c r="H44" s="194"/>
    </row>
    <row r="45" spans="1:21" ht="13.35" customHeight="1">
      <c r="A45" s="251" t="s">
        <v>8</v>
      </c>
      <c r="B45" s="252" t="s">
        <v>134</v>
      </c>
      <c r="C45" s="108"/>
      <c r="D45" s="108"/>
      <c r="E45" s="108"/>
      <c r="F45" s="108"/>
      <c r="G45" s="108"/>
      <c r="H45" s="194"/>
    </row>
    <row r="46" spans="1:21" s="222" customFormat="1" ht="13.35" customHeight="1">
      <c r="A46" s="253" t="s">
        <v>9</v>
      </c>
      <c r="B46" s="204" t="s">
        <v>24</v>
      </c>
      <c r="C46" s="109" t="s">
        <v>25</v>
      </c>
      <c r="D46" s="109" t="s">
        <v>26</v>
      </c>
      <c r="E46" s="4" t="s">
        <v>25</v>
      </c>
      <c r="F46" s="109" t="s">
        <v>146</v>
      </c>
      <c r="G46" s="109" t="s">
        <v>24</v>
      </c>
      <c r="H46" s="194"/>
      <c r="U46" s="338"/>
    </row>
    <row r="47" spans="1:21" s="222" customFormat="1" ht="13.35" customHeight="1">
      <c r="A47" s="253" t="s">
        <v>10</v>
      </c>
      <c r="B47" s="196"/>
      <c r="C47" s="108"/>
      <c r="D47" s="108"/>
      <c r="E47" s="109" t="s">
        <v>221</v>
      </c>
      <c r="F47" s="108"/>
      <c r="G47" s="108"/>
      <c r="H47" s="194"/>
      <c r="U47" s="338"/>
    </row>
    <row r="48" spans="1:21" s="222" customFormat="1" ht="13.35" customHeight="1">
      <c r="A48" s="248" t="s">
        <v>11</v>
      </c>
      <c r="B48" s="197"/>
      <c r="C48" s="105"/>
      <c r="D48" s="105" t="s">
        <v>35</v>
      </c>
      <c r="E48" s="105" t="s">
        <v>35</v>
      </c>
      <c r="F48" s="336" t="s">
        <v>272</v>
      </c>
      <c r="G48" s="336" t="s">
        <v>288</v>
      </c>
      <c r="H48" s="194"/>
      <c r="U48" s="338"/>
    </row>
    <row r="49" spans="1:21" s="222" customFormat="1" ht="13.35" customHeight="1">
      <c r="A49" s="248"/>
      <c r="B49" s="197"/>
      <c r="C49" s="105"/>
      <c r="D49" s="105"/>
      <c r="E49" s="105"/>
      <c r="F49" s="336" t="s">
        <v>250</v>
      </c>
      <c r="G49" s="336" t="s">
        <v>25</v>
      </c>
      <c r="H49" s="194"/>
      <c r="U49" s="338"/>
    </row>
    <row r="50" spans="1:21" ht="13.35" customHeight="1">
      <c r="A50" s="248"/>
      <c r="B50" s="197"/>
      <c r="C50" s="105"/>
      <c r="D50" s="105"/>
      <c r="E50" s="105"/>
      <c r="F50" s="105" t="s">
        <v>262</v>
      </c>
      <c r="G50" s="336" t="s">
        <v>250</v>
      </c>
      <c r="H50" s="194"/>
    </row>
    <row r="51" spans="1:21" ht="13.35" customHeight="1" thickBot="1">
      <c r="A51" s="254"/>
      <c r="B51" s="199"/>
      <c r="C51" s="115"/>
      <c r="D51" s="115"/>
      <c r="E51" s="242"/>
      <c r="F51" s="357" t="s">
        <v>35</v>
      </c>
      <c r="G51" s="242" t="s">
        <v>35</v>
      </c>
      <c r="H51" s="255"/>
    </row>
    <row r="52" spans="1:21" ht="13.35" customHeight="1">
      <c r="A52" s="227" t="s">
        <v>17</v>
      </c>
      <c r="H52" s="256" t="s">
        <v>287</v>
      </c>
    </row>
    <row r="53" spans="1:21" ht="13.35" customHeight="1">
      <c r="A53" s="4" t="s">
        <v>22</v>
      </c>
      <c r="G53" s="229" t="s">
        <v>13</v>
      </c>
    </row>
    <row r="54" spans="1:21" ht="13.35" customHeight="1">
      <c r="A54" s="4" t="s">
        <v>94</v>
      </c>
    </row>
    <row r="55" spans="1:21">
      <c r="A55" s="4" t="s">
        <v>99</v>
      </c>
    </row>
    <row r="56" spans="1:21" s="2" customFormat="1" ht="12" customHeight="1">
      <c r="A56" s="3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1"/>
    </row>
    <row r="57" spans="1:21" s="2" customFormat="1" ht="12" customHeight="1">
      <c r="A57" s="178" t="s">
        <v>92</v>
      </c>
      <c r="B57" s="51"/>
      <c r="C57" s="51"/>
      <c r="D57" s="51"/>
      <c r="E57" s="51"/>
      <c r="F57" s="51"/>
      <c r="G57" s="51"/>
      <c r="H57" s="51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1"/>
    </row>
    <row r="58" spans="1:21" s="2" customFormat="1" ht="12" customHeight="1" thickBot="1">
      <c r="A58" s="51" t="s">
        <v>140</v>
      </c>
      <c r="B58" s="51"/>
      <c r="C58" s="51"/>
      <c r="D58" s="51"/>
      <c r="E58" s="51"/>
      <c r="F58" s="51"/>
      <c r="G58" s="51"/>
      <c r="H58" s="51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1"/>
    </row>
    <row r="59" spans="1:21" s="2" customFormat="1" ht="12" customHeight="1">
      <c r="A59" s="75" t="s">
        <v>14</v>
      </c>
      <c r="B59" s="81"/>
      <c r="C59" s="175" t="s">
        <v>1</v>
      </c>
      <c r="D59" s="175" t="s">
        <v>2</v>
      </c>
      <c r="E59" s="175" t="s">
        <v>3</v>
      </c>
      <c r="F59" s="175" t="s">
        <v>4</v>
      </c>
      <c r="G59" s="175" t="s">
        <v>5</v>
      </c>
      <c r="H59" s="51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1"/>
    </row>
    <row r="60" spans="1:21" s="2" customFormat="1" ht="12" customHeight="1">
      <c r="A60" s="75"/>
      <c r="B60" s="173" t="s">
        <v>32</v>
      </c>
      <c r="C60" s="59"/>
      <c r="D60" s="174"/>
      <c r="E60" s="174"/>
      <c r="F60" s="174"/>
      <c r="G60" s="174"/>
      <c r="H60" s="51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1"/>
    </row>
    <row r="61" spans="1:21" s="2" customFormat="1" ht="12" customHeight="1">
      <c r="A61" s="39"/>
      <c r="B61" s="173" t="s">
        <v>15</v>
      </c>
      <c r="C61" s="170" t="s">
        <v>72</v>
      </c>
      <c r="D61" s="170" t="s">
        <v>136</v>
      </c>
      <c r="E61" s="170" t="s">
        <v>36</v>
      </c>
      <c r="F61" s="170" t="s">
        <v>35</v>
      </c>
      <c r="G61" s="170" t="s">
        <v>137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1"/>
    </row>
    <row r="62" spans="1:21" s="2" customFormat="1" ht="15">
      <c r="A62" s="39"/>
      <c r="B62" s="231"/>
      <c r="C62" s="233" t="s">
        <v>135</v>
      </c>
      <c r="D62" s="233"/>
      <c r="E62" s="233"/>
      <c r="F62" s="233"/>
      <c r="G62" s="233" t="s">
        <v>134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1"/>
    </row>
  </sheetData>
  <mergeCells count="1">
    <mergeCell ref="B1:H1"/>
  </mergeCells>
  <phoneticPr fontId="3" type="noConversion"/>
  <pageMargins left="0.3" right="0.25" top="0.6" bottom="0.25" header="0.3" footer="0.3"/>
  <pageSetup scale="66" orientation="landscape" r:id="rId1"/>
  <headerFooter>
    <oddHeader>&amp;C&amp;"Times New Roman,Bold"Ophthalmology Resident Call/Rounds Presentation/Vacation Schedule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7"/>
  <sheetViews>
    <sheetView topLeftCell="A5" zoomScale="73" zoomScaleNormal="73" zoomScalePageLayoutView="150" workbookViewId="0">
      <selection activeCell="G27" sqref="G27"/>
    </sheetView>
  </sheetViews>
  <sheetFormatPr defaultColWidth="8.7109375" defaultRowHeight="12"/>
  <cols>
    <col min="1" max="8" width="18.7109375" style="4" customWidth="1"/>
    <col min="9" max="20" width="8.7109375" style="4"/>
    <col min="21" max="21" width="8.7109375" style="41"/>
    <col min="22" max="16384" width="8.7109375" style="4"/>
  </cols>
  <sheetData>
    <row r="1" spans="1:23" ht="16.5" thickBot="1">
      <c r="B1" s="407" t="s">
        <v>87</v>
      </c>
      <c r="C1" s="408"/>
      <c r="D1" s="408"/>
      <c r="E1" s="408"/>
      <c r="F1" s="408"/>
      <c r="G1" s="408"/>
      <c r="H1" s="408"/>
      <c r="J1" s="3" t="s">
        <v>150</v>
      </c>
      <c r="K1" s="3" t="s">
        <v>67</v>
      </c>
      <c r="L1" s="3" t="s">
        <v>158</v>
      </c>
      <c r="M1" s="3" t="s">
        <v>153</v>
      </c>
      <c r="N1" s="3"/>
      <c r="O1" s="3" t="s">
        <v>183</v>
      </c>
      <c r="P1" s="3" t="s">
        <v>57</v>
      </c>
      <c r="Q1" s="3" t="s">
        <v>184</v>
      </c>
      <c r="R1" s="3" t="s">
        <v>185</v>
      </c>
      <c r="S1" s="3"/>
      <c r="T1" s="3" t="s">
        <v>188</v>
      </c>
      <c r="U1" s="3"/>
      <c r="V1" s="3"/>
      <c r="W1" s="3"/>
    </row>
    <row r="2" spans="1:23" ht="12.75" thickBot="1">
      <c r="A2" s="98"/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  <c r="J2" s="3" t="s">
        <v>137</v>
      </c>
      <c r="K2" s="3" t="s">
        <v>163</v>
      </c>
      <c r="L2" s="3" t="s">
        <v>178</v>
      </c>
      <c r="M2" s="3" t="s">
        <v>176</v>
      </c>
      <c r="N2" s="3"/>
      <c r="O2" s="3">
        <f>COUNTIF(C4:G46, "Jones")+1</f>
        <v>4</v>
      </c>
      <c r="P2" s="3">
        <f>COUNTIF(H4:H46, "Jones")</f>
        <v>1</v>
      </c>
      <c r="Q2" s="3">
        <f>O2+'October 2025'!Q2</f>
        <v>17</v>
      </c>
      <c r="R2" s="3">
        <f>P2+'October 2025'!R2</f>
        <v>3</v>
      </c>
      <c r="S2" s="3"/>
      <c r="T2" s="3">
        <f>SUM(O2:P10)</f>
        <v>29</v>
      </c>
      <c r="U2" s="3"/>
      <c r="V2" s="3"/>
      <c r="W2" s="3"/>
    </row>
    <row r="3" spans="1:23" ht="13.35" customHeight="1">
      <c r="A3" s="100"/>
      <c r="B3" s="126"/>
      <c r="C3" s="121"/>
      <c r="D3" s="121"/>
      <c r="E3" s="121"/>
      <c r="F3" s="121"/>
      <c r="G3" s="313"/>
      <c r="H3" s="102">
        <v>1</v>
      </c>
      <c r="J3" s="3" t="s">
        <v>134</v>
      </c>
      <c r="K3" s="3" t="s">
        <v>173</v>
      </c>
      <c r="L3" s="3"/>
      <c r="M3" s="3"/>
      <c r="N3" s="3"/>
      <c r="O3" s="3">
        <f>COUNTIF(C4:G46, "Moezzi")</f>
        <v>0</v>
      </c>
      <c r="P3" s="3">
        <f>COUNTIF(H4:H47, "Moezzi")</f>
        <v>0</v>
      </c>
      <c r="Q3" s="3">
        <f>O3+'October 2025'!Q3</f>
        <v>14</v>
      </c>
      <c r="R3" s="3">
        <f>P3+'October 2025'!R3</f>
        <v>2</v>
      </c>
      <c r="S3" s="3"/>
      <c r="T3" s="3"/>
      <c r="U3" s="3"/>
      <c r="V3" s="3"/>
      <c r="W3" s="3"/>
    </row>
    <row r="4" spans="1:23" ht="13.35" customHeight="1">
      <c r="A4" s="104" t="s">
        <v>7</v>
      </c>
      <c r="B4" s="192"/>
      <c r="G4" s="112"/>
      <c r="H4" s="106" t="s">
        <v>136</v>
      </c>
      <c r="J4" s="3" t="s">
        <v>135</v>
      </c>
      <c r="K4" s="3" t="s">
        <v>155</v>
      </c>
      <c r="L4" s="3" t="s">
        <v>167</v>
      </c>
      <c r="M4" s="3" t="s">
        <v>69</v>
      </c>
      <c r="N4" s="3"/>
      <c r="O4" s="3">
        <f>COUNTIF(C4:G46,"Tung")-5</f>
        <v>2</v>
      </c>
      <c r="P4" s="3">
        <f>COUNTIF(H4:H46, "Tung")</f>
        <v>1</v>
      </c>
      <c r="Q4" s="3">
        <f>O4+'October 2025'!Q4</f>
        <v>18</v>
      </c>
      <c r="R4" s="3">
        <f>P4+'October 2025'!R4</f>
        <v>3</v>
      </c>
      <c r="S4" s="52"/>
      <c r="T4" s="52"/>
      <c r="U4" s="3"/>
      <c r="V4" s="3"/>
      <c r="W4" s="3"/>
    </row>
    <row r="5" spans="1:23" ht="13.35" customHeight="1">
      <c r="A5" s="223" t="s">
        <v>8</v>
      </c>
      <c r="B5" s="192"/>
      <c r="G5" s="112"/>
      <c r="H5" s="97"/>
      <c r="J5" s="3" t="s">
        <v>136</v>
      </c>
      <c r="K5" s="3" t="s">
        <v>154</v>
      </c>
      <c r="L5" s="3" t="s">
        <v>172</v>
      </c>
      <c r="M5" s="3" t="s">
        <v>159</v>
      </c>
      <c r="N5" s="3"/>
      <c r="O5" s="3">
        <f>COUNTIF(C4:G46, "Wen")+1</f>
        <v>5</v>
      </c>
      <c r="P5" s="3">
        <f>COUNTIF(H4:H46, "Wen")</f>
        <v>1</v>
      </c>
      <c r="Q5" s="3">
        <f>O5+'October 2025'!Q5</f>
        <v>17</v>
      </c>
      <c r="R5" s="3">
        <f>P5+'October 2025'!R5</f>
        <v>3</v>
      </c>
      <c r="S5" s="3"/>
      <c r="T5" s="3"/>
      <c r="U5" s="3"/>
      <c r="V5" s="3"/>
      <c r="W5" s="3"/>
    </row>
    <row r="6" spans="1:23" ht="13.35" customHeight="1">
      <c r="A6" s="107" t="s">
        <v>9</v>
      </c>
      <c r="B6" s="192"/>
      <c r="G6" s="112"/>
      <c r="H6" s="109" t="s">
        <v>25</v>
      </c>
      <c r="J6" s="3" t="s">
        <v>151</v>
      </c>
      <c r="K6" s="3" t="s">
        <v>67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3.35" customHeight="1">
      <c r="A7" s="130" t="s">
        <v>18</v>
      </c>
      <c r="B7" s="127"/>
      <c r="G7" s="112"/>
      <c r="H7" s="108"/>
      <c r="J7" s="3" t="s">
        <v>35</v>
      </c>
      <c r="K7" s="3" t="s">
        <v>165</v>
      </c>
      <c r="L7" s="3" t="s">
        <v>166</v>
      </c>
      <c r="M7" s="3" t="s">
        <v>69</v>
      </c>
      <c r="N7" s="3"/>
      <c r="O7" s="3">
        <f>COUNTIF(C3:G46, "Miller")</f>
        <v>3</v>
      </c>
      <c r="P7" s="3">
        <f>COUNTIF(H3:H51, "Miller")</f>
        <v>0</v>
      </c>
      <c r="Q7" s="3">
        <f>O7+'October 2025'!Q7</f>
        <v>14</v>
      </c>
      <c r="R7" s="3">
        <f>P7+'October 2025'!R7</f>
        <v>2</v>
      </c>
      <c r="S7" s="3"/>
      <c r="T7" s="3"/>
      <c r="U7" s="3"/>
      <c r="V7" s="3"/>
      <c r="W7" s="3"/>
    </row>
    <row r="8" spans="1:23" ht="13.35" customHeight="1">
      <c r="A8" s="130" t="s">
        <v>11</v>
      </c>
      <c r="B8" s="127"/>
      <c r="G8" s="112"/>
      <c r="H8" s="118"/>
      <c r="J8" s="3" t="s">
        <v>36</v>
      </c>
      <c r="K8" s="3" t="s">
        <v>157</v>
      </c>
      <c r="L8" s="3" t="s">
        <v>69</v>
      </c>
      <c r="M8" s="3" t="s">
        <v>175</v>
      </c>
      <c r="N8" s="3"/>
      <c r="O8" s="3">
        <f>COUNTIF(C3:G46, "Philbrick")-4</f>
        <v>0</v>
      </c>
      <c r="P8" s="3">
        <f>COUNTIF(H3:H52, "Philbrick")</f>
        <v>1</v>
      </c>
      <c r="Q8" s="3">
        <f>O8+'October 2025'!Q8</f>
        <v>15</v>
      </c>
      <c r="R8" s="3">
        <f>P8+'October 2025'!R8</f>
        <v>4</v>
      </c>
      <c r="S8" s="3"/>
      <c r="T8" s="3"/>
      <c r="U8" s="3"/>
      <c r="V8" s="3"/>
      <c r="W8" s="3"/>
    </row>
    <row r="9" spans="1:23" ht="13.35" customHeight="1">
      <c r="A9" s="100"/>
      <c r="B9" s="257"/>
      <c r="D9" s="119"/>
      <c r="E9" s="119"/>
      <c r="F9" s="232"/>
      <c r="G9" s="194"/>
      <c r="H9" s="258"/>
      <c r="J9" s="3" t="s">
        <v>72</v>
      </c>
      <c r="K9" s="3" t="s">
        <v>181</v>
      </c>
      <c r="L9" s="3" t="s">
        <v>177</v>
      </c>
      <c r="M9" s="3" t="s">
        <v>182</v>
      </c>
      <c r="N9" s="3"/>
      <c r="O9" s="3">
        <f>COUNTIF(C3:G46, "Sears")+2</f>
        <v>6</v>
      </c>
      <c r="P9" s="3">
        <f>COUNTIF(H4:H51, "Sears")</f>
        <v>0</v>
      </c>
      <c r="Q9" s="3">
        <f>O9+'October 2025'!Q9</f>
        <v>22</v>
      </c>
      <c r="R9" s="3">
        <f>P9+'October 2025'!R9</f>
        <v>2</v>
      </c>
      <c r="S9" s="3"/>
      <c r="T9" s="3"/>
      <c r="U9" s="3"/>
      <c r="V9" s="3"/>
      <c r="W9" s="3"/>
    </row>
    <row r="10" spans="1:23" ht="13.35" customHeight="1" thickBot="1">
      <c r="A10" s="259"/>
      <c r="B10" s="260"/>
      <c r="C10" s="123"/>
      <c r="D10" s="261"/>
      <c r="E10" s="261"/>
      <c r="F10" s="322"/>
      <c r="G10" s="323"/>
      <c r="H10" s="262"/>
      <c r="J10" s="3" t="s">
        <v>34</v>
      </c>
      <c r="K10" s="3" t="s">
        <v>156</v>
      </c>
      <c r="L10" s="3" t="s">
        <v>171</v>
      </c>
      <c r="M10" s="3" t="s">
        <v>160</v>
      </c>
      <c r="N10" s="3"/>
      <c r="O10" s="3">
        <f>COUNTIF(C3:G46, "Thompson")+1-5</f>
        <v>4</v>
      </c>
      <c r="P10" s="3">
        <f>COUNTIF(H3:H51, "Thompson")</f>
        <v>1</v>
      </c>
      <c r="Q10" s="3">
        <f>O10+'October 2025'!Q10</f>
        <v>16</v>
      </c>
      <c r="R10" s="3">
        <f>P10+'October 2025'!R10</f>
        <v>2</v>
      </c>
      <c r="S10" s="3"/>
      <c r="T10" s="3"/>
      <c r="U10" s="3"/>
      <c r="V10" s="3"/>
      <c r="W10" s="3"/>
    </row>
    <row r="11" spans="1:23" ht="13.35" customHeight="1">
      <c r="A11" s="104"/>
      <c r="B11" s="136">
        <v>2</v>
      </c>
      <c r="C11" s="232">
        <v>3</v>
      </c>
      <c r="D11" s="103">
        <v>4</v>
      </c>
      <c r="E11" s="102">
        <v>5</v>
      </c>
      <c r="F11" s="102">
        <v>6</v>
      </c>
      <c r="G11" s="103">
        <v>7</v>
      </c>
      <c r="H11" s="103">
        <v>8</v>
      </c>
      <c r="J11" s="3" t="s">
        <v>152</v>
      </c>
      <c r="K11" s="3" t="s">
        <v>67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3.35" customHeight="1">
      <c r="A12" s="263" t="s">
        <v>7</v>
      </c>
      <c r="B12" s="105" t="s">
        <v>136</v>
      </c>
      <c r="C12" s="4" t="s">
        <v>215</v>
      </c>
      <c r="D12" s="105" t="s">
        <v>137</v>
      </c>
      <c r="E12" s="105" t="s">
        <v>36</v>
      </c>
      <c r="F12" s="105" t="s">
        <v>136</v>
      </c>
      <c r="G12" s="105" t="s">
        <v>35</v>
      </c>
      <c r="H12" s="105" t="s">
        <v>135</v>
      </c>
      <c r="J12" s="3" t="s">
        <v>24</v>
      </c>
      <c r="K12" s="3" t="s">
        <v>168</v>
      </c>
      <c r="L12" s="3" t="s">
        <v>191</v>
      </c>
      <c r="M12" s="3" t="s">
        <v>192</v>
      </c>
      <c r="N12" s="3"/>
      <c r="O12" s="3">
        <f>COUNTIF(C3:G45,"Dieu")-2</f>
        <v>4</v>
      </c>
      <c r="P12" s="3">
        <f>COUNTIF(H4:H42, "Dieu")</f>
        <v>1</v>
      </c>
      <c r="Q12" s="3">
        <f>O12+'October 2025'!Q12</f>
        <v>24</v>
      </c>
      <c r="R12" s="3">
        <f>P12+'October 2025'!R12</f>
        <v>6</v>
      </c>
      <c r="S12" s="3"/>
      <c r="T12" s="3"/>
      <c r="U12" s="3"/>
      <c r="V12" s="3"/>
      <c r="W12" s="3"/>
    </row>
    <row r="13" spans="1:23" ht="13.35" customHeight="1">
      <c r="A13" s="223" t="s">
        <v>8</v>
      </c>
      <c r="B13" s="106" t="s">
        <v>137</v>
      </c>
      <c r="C13" s="97"/>
      <c r="D13" s="97"/>
      <c r="E13" s="97"/>
      <c r="F13" s="97"/>
      <c r="G13" s="97"/>
      <c r="H13" s="97"/>
      <c r="J13" s="3" t="s">
        <v>25</v>
      </c>
      <c r="K13" s="3" t="s">
        <v>155</v>
      </c>
      <c r="L13" s="3" t="s">
        <v>190</v>
      </c>
      <c r="M13" s="3" t="s">
        <v>161</v>
      </c>
      <c r="N13" s="3"/>
      <c r="O13" s="3">
        <f>COUNTIF(C3:G45,"Huynh")</f>
        <v>4</v>
      </c>
      <c r="P13" s="3">
        <f>COUNTIF(H4:H42, "Huynh")</f>
        <v>1</v>
      </c>
      <c r="Q13" s="3">
        <f>O13+'October 2025'!Q13</f>
        <v>27</v>
      </c>
      <c r="R13" s="3">
        <f>P13+'October 2025'!R13</f>
        <v>4</v>
      </c>
      <c r="S13" s="3"/>
      <c r="T13" s="3"/>
      <c r="U13" s="3"/>
      <c r="V13" s="3"/>
      <c r="W13" s="3"/>
    </row>
    <row r="14" spans="1:23" ht="13.35" customHeight="1">
      <c r="A14" s="107" t="s">
        <v>9</v>
      </c>
      <c r="B14" s="106" t="s">
        <v>25</v>
      </c>
      <c r="C14" s="4" t="s">
        <v>26</v>
      </c>
      <c r="D14" s="287" t="s">
        <v>26</v>
      </c>
      <c r="E14" s="109" t="s">
        <v>25</v>
      </c>
      <c r="F14" s="109" t="s">
        <v>24</v>
      </c>
      <c r="G14" s="109" t="s">
        <v>24</v>
      </c>
      <c r="H14" s="288" t="s">
        <v>26</v>
      </c>
      <c r="J14" s="3" t="s">
        <v>26</v>
      </c>
      <c r="K14" s="3" t="s">
        <v>170</v>
      </c>
      <c r="L14" s="3" t="s">
        <v>193</v>
      </c>
      <c r="M14" s="3" t="s">
        <v>69</v>
      </c>
      <c r="N14" s="3"/>
      <c r="O14" s="3">
        <f>COUNTIF(C3:G45,"Mathew")-2</f>
        <v>5</v>
      </c>
      <c r="P14" s="3">
        <f>COUNTIF(H4:H42, "Mathew")</f>
        <v>1</v>
      </c>
      <c r="Q14" s="3">
        <f>O14+'October 2025'!Q14</f>
        <v>27</v>
      </c>
      <c r="R14" s="3">
        <f>P14+'October 2025'!R14</f>
        <v>5</v>
      </c>
      <c r="S14" s="3"/>
      <c r="T14" s="3"/>
      <c r="U14" s="3"/>
      <c r="V14" s="3"/>
      <c r="W14" s="3"/>
    </row>
    <row r="15" spans="1:23" ht="13.35" customHeight="1">
      <c r="A15" s="107" t="s">
        <v>10</v>
      </c>
      <c r="B15" s="108"/>
      <c r="C15" s="108"/>
      <c r="D15" s="108"/>
      <c r="E15" s="109" t="s">
        <v>62</v>
      </c>
      <c r="F15" s="108"/>
      <c r="G15" s="108"/>
      <c r="H15" s="108"/>
      <c r="J15" s="3" t="s">
        <v>146</v>
      </c>
      <c r="K15" s="3" t="s">
        <v>169</v>
      </c>
      <c r="L15" s="3"/>
      <c r="M15" s="3"/>
      <c r="N15" s="3"/>
      <c r="O15" s="3">
        <f>COUNTIF(C3:G45,"Noh")-2</f>
        <v>7</v>
      </c>
      <c r="P15" s="3">
        <f>COUNTIF(H4:H42, "Noh")</f>
        <v>1</v>
      </c>
      <c r="Q15" s="3">
        <f>O15+'October 2025'!Q15</f>
        <v>25</v>
      </c>
      <c r="R15" s="3">
        <f>P15+'October 2025'!R15</f>
        <v>5</v>
      </c>
      <c r="S15" s="3"/>
      <c r="T15" s="3"/>
      <c r="U15" s="3"/>
      <c r="V15" s="3"/>
      <c r="W15" s="3"/>
    </row>
    <row r="16" spans="1:23" ht="13.35" customHeight="1">
      <c r="A16" s="100" t="s">
        <v>11</v>
      </c>
      <c r="B16" s="225"/>
      <c r="C16" s="336" t="s">
        <v>250</v>
      </c>
      <c r="D16" s="105" t="s">
        <v>146</v>
      </c>
      <c r="E16" s="105" t="s">
        <v>146</v>
      </c>
      <c r="F16" s="336" t="s">
        <v>272</v>
      </c>
      <c r="G16" s="336" t="s">
        <v>271</v>
      </c>
      <c r="H16" s="225"/>
      <c r="U16" s="3"/>
    </row>
    <row r="17" spans="1:21" ht="13.35" customHeight="1">
      <c r="A17" s="100"/>
      <c r="B17" s="118"/>
      <c r="C17" s="105" t="s">
        <v>146</v>
      </c>
      <c r="D17" s="105" t="s">
        <v>289</v>
      </c>
      <c r="E17" s="105" t="s">
        <v>289</v>
      </c>
      <c r="F17" s="105" t="s">
        <v>146</v>
      </c>
      <c r="G17" s="105" t="s">
        <v>146</v>
      </c>
      <c r="H17" s="118"/>
      <c r="U17" s="3"/>
    </row>
    <row r="18" spans="1:21" ht="13.35" customHeight="1">
      <c r="A18" s="100"/>
      <c r="B18" s="118"/>
      <c r="C18" s="105" t="s">
        <v>289</v>
      </c>
      <c r="D18" s="336" t="s">
        <v>34</v>
      </c>
      <c r="E18" s="105" t="s">
        <v>34</v>
      </c>
      <c r="F18" s="105" t="s">
        <v>289</v>
      </c>
      <c r="G18" s="105" t="s">
        <v>222</v>
      </c>
      <c r="H18" s="118"/>
    </row>
    <row r="19" spans="1:21" ht="13.35" customHeight="1" thickBot="1">
      <c r="A19" s="114"/>
      <c r="B19" s="113"/>
      <c r="C19" s="115" t="s">
        <v>34</v>
      </c>
      <c r="D19" s="115"/>
      <c r="E19" s="115"/>
      <c r="F19" s="295" t="s">
        <v>34</v>
      </c>
      <c r="G19" s="115" t="s">
        <v>34</v>
      </c>
      <c r="H19" s="113"/>
    </row>
    <row r="20" spans="1:21" ht="12" customHeight="1">
      <c r="A20" s="100"/>
      <c r="B20" s="103">
        <v>9</v>
      </c>
      <c r="C20" s="102">
        <v>10</v>
      </c>
      <c r="D20" s="102" t="s">
        <v>200</v>
      </c>
      <c r="E20" s="103">
        <v>12</v>
      </c>
      <c r="F20" s="103">
        <v>13</v>
      </c>
      <c r="G20" s="103">
        <v>14</v>
      </c>
      <c r="H20" s="103">
        <v>15</v>
      </c>
      <c r="J20" s="346" t="s">
        <v>131</v>
      </c>
      <c r="K20" s="229"/>
      <c r="L20" s="229"/>
      <c r="M20" s="229"/>
      <c r="N20" s="229"/>
      <c r="O20" s="229"/>
    </row>
    <row r="21" spans="1:21" ht="13.35" customHeight="1">
      <c r="A21" s="104" t="s">
        <v>7</v>
      </c>
      <c r="B21" s="264" t="s">
        <v>135</v>
      </c>
      <c r="C21" s="264" t="s">
        <v>36</v>
      </c>
      <c r="D21" s="264" t="s">
        <v>137</v>
      </c>
      <c r="E21" s="264" t="s">
        <v>136</v>
      </c>
      <c r="F21" s="264" t="s">
        <v>135</v>
      </c>
      <c r="G21" s="265" t="s">
        <v>34</v>
      </c>
      <c r="H21" s="265" t="s">
        <v>36</v>
      </c>
      <c r="J21" s="4" t="s">
        <v>130</v>
      </c>
    </row>
    <row r="22" spans="1:21" ht="13.35" customHeight="1">
      <c r="A22" s="223" t="s">
        <v>8</v>
      </c>
      <c r="B22" s="106" t="s">
        <v>217</v>
      </c>
      <c r="C22" s="97"/>
      <c r="D22" s="97"/>
      <c r="E22" s="97"/>
      <c r="F22" s="97"/>
      <c r="G22" s="97"/>
      <c r="H22" s="97"/>
      <c r="J22" s="4" t="s">
        <v>128</v>
      </c>
    </row>
    <row r="23" spans="1:21" ht="13.35" customHeight="1">
      <c r="A23" s="107" t="s">
        <v>9</v>
      </c>
      <c r="B23" s="109" t="s">
        <v>26</v>
      </c>
      <c r="C23" s="109" t="s">
        <v>26</v>
      </c>
      <c r="D23" s="109" t="s">
        <v>24</v>
      </c>
      <c r="E23" s="4" t="s">
        <v>146</v>
      </c>
      <c r="F23" s="109" t="s">
        <v>146</v>
      </c>
      <c r="G23" s="109" t="s">
        <v>146</v>
      </c>
      <c r="H23" s="109" t="s">
        <v>146</v>
      </c>
      <c r="J23" s="4" t="s">
        <v>293</v>
      </c>
    </row>
    <row r="24" spans="1:21" ht="12.75" customHeight="1">
      <c r="A24" s="107" t="s">
        <v>10</v>
      </c>
      <c r="B24" s="108"/>
      <c r="C24" s="108"/>
      <c r="D24" s="108"/>
      <c r="E24" s="109" t="s">
        <v>72</v>
      </c>
      <c r="F24" s="108"/>
      <c r="G24" s="108"/>
      <c r="H24" s="108"/>
    </row>
    <row r="25" spans="1:21" ht="12.75" customHeight="1">
      <c r="A25" s="100" t="s">
        <v>11</v>
      </c>
      <c r="B25" s="118"/>
      <c r="C25" s="335" t="s">
        <v>271</v>
      </c>
      <c r="D25" s="110"/>
      <c r="E25" s="110"/>
      <c r="F25" s="335" t="s">
        <v>242</v>
      </c>
      <c r="G25" s="335" t="s">
        <v>24</v>
      </c>
      <c r="H25" s="111"/>
    </row>
    <row r="26" spans="1:21" ht="13.35" customHeight="1">
      <c r="A26" s="100"/>
      <c r="B26" s="118"/>
      <c r="C26" s="105"/>
      <c r="D26" s="105"/>
      <c r="E26" s="105"/>
      <c r="F26" s="336" t="s">
        <v>252</v>
      </c>
      <c r="G26" s="336" t="s">
        <v>250</v>
      </c>
      <c r="H26" s="111"/>
    </row>
    <row r="27" spans="1:21" ht="13.35" customHeight="1">
      <c r="A27" s="100"/>
      <c r="B27" s="118"/>
      <c r="C27" s="105"/>
      <c r="D27" s="105"/>
      <c r="E27" s="105"/>
      <c r="F27" s="105"/>
      <c r="G27" s="336" t="s">
        <v>25</v>
      </c>
      <c r="H27" s="111"/>
    </row>
    <row r="28" spans="1:21" ht="13.35" customHeight="1">
      <c r="A28" s="100"/>
      <c r="B28" s="118"/>
      <c r="C28" s="105"/>
      <c r="D28" s="105"/>
      <c r="E28" s="105"/>
      <c r="F28" s="105"/>
      <c r="G28" s="105" t="s">
        <v>222</v>
      </c>
      <c r="H28" s="111"/>
    </row>
    <row r="29" spans="1:21" ht="13.35" customHeight="1" thickBot="1">
      <c r="A29" s="114"/>
      <c r="B29" s="113"/>
      <c r="C29" s="115"/>
      <c r="D29" s="115"/>
      <c r="E29" s="115"/>
      <c r="F29" s="295"/>
      <c r="G29" s="295" t="s">
        <v>203</v>
      </c>
      <c r="H29" s="116"/>
    </row>
    <row r="30" spans="1:21" ht="13.35" customHeight="1">
      <c r="A30" s="100"/>
      <c r="B30" s="103">
        <v>16</v>
      </c>
      <c r="C30" s="103">
        <v>17</v>
      </c>
      <c r="D30" s="103">
        <v>18</v>
      </c>
      <c r="E30" s="103">
        <v>19</v>
      </c>
      <c r="F30" s="102">
        <v>20</v>
      </c>
      <c r="G30" s="102">
        <v>21</v>
      </c>
      <c r="H30" s="101">
        <v>22</v>
      </c>
    </row>
    <row r="31" spans="1:21" ht="13.35" customHeight="1">
      <c r="A31" s="104" t="s">
        <v>7</v>
      </c>
      <c r="B31" s="106" t="s">
        <v>36</v>
      </c>
      <c r="C31" s="106" t="s">
        <v>35</v>
      </c>
      <c r="D31" s="264" t="s">
        <v>72</v>
      </c>
      <c r="E31" s="264" t="s">
        <v>136</v>
      </c>
      <c r="F31" s="264" t="s">
        <v>35</v>
      </c>
      <c r="G31" s="265" t="s">
        <v>295</v>
      </c>
      <c r="H31" s="265" t="s">
        <v>137</v>
      </c>
    </row>
    <row r="32" spans="1:21" ht="13.35" customHeight="1">
      <c r="A32" s="223" t="s">
        <v>8</v>
      </c>
      <c r="B32" s="106" t="s">
        <v>136</v>
      </c>
      <c r="C32" s="97"/>
      <c r="D32" s="97"/>
      <c r="E32" s="97"/>
      <c r="F32" s="97"/>
      <c r="G32" s="97"/>
      <c r="H32" s="97"/>
    </row>
    <row r="33" spans="1:8" ht="13.35" customHeight="1">
      <c r="A33" s="107" t="s">
        <v>9</v>
      </c>
      <c r="B33" s="109" t="s">
        <v>146</v>
      </c>
      <c r="C33" s="109" t="s">
        <v>26</v>
      </c>
      <c r="D33" s="109" t="s">
        <v>24</v>
      </c>
      <c r="E33" s="106" t="s">
        <v>25</v>
      </c>
      <c r="F33" s="106" t="s">
        <v>26</v>
      </c>
      <c r="G33" s="109" t="s">
        <v>34</v>
      </c>
      <c r="H33" s="109" t="s">
        <v>34</v>
      </c>
    </row>
    <row r="34" spans="1:8" ht="13.35" customHeight="1">
      <c r="A34" s="107" t="s">
        <v>10</v>
      </c>
      <c r="B34" s="108"/>
      <c r="C34" s="108"/>
      <c r="D34" s="108"/>
      <c r="E34" s="109" t="s">
        <v>34</v>
      </c>
      <c r="F34" s="97"/>
      <c r="G34" s="108"/>
      <c r="H34" s="108"/>
    </row>
    <row r="35" spans="1:8" ht="13.35" customHeight="1">
      <c r="A35" s="100" t="s">
        <v>11</v>
      </c>
      <c r="B35" s="118"/>
      <c r="C35" s="336" t="s">
        <v>135</v>
      </c>
      <c r="D35" s="105" t="s">
        <v>135</v>
      </c>
      <c r="E35" s="105" t="s">
        <v>135</v>
      </c>
      <c r="F35" s="105" t="s">
        <v>246</v>
      </c>
      <c r="G35" s="105" t="s">
        <v>246</v>
      </c>
      <c r="H35" s="118"/>
    </row>
    <row r="36" spans="1:8" ht="13.35" customHeight="1">
      <c r="A36" s="100"/>
      <c r="B36" s="118"/>
      <c r="C36" s="105"/>
      <c r="D36" s="236"/>
      <c r="E36" s="236"/>
      <c r="F36" s="105" t="s">
        <v>135</v>
      </c>
      <c r="G36" s="105" t="s">
        <v>222</v>
      </c>
      <c r="H36" s="111"/>
    </row>
    <row r="37" spans="1:8" ht="13.35" customHeight="1" thickBot="1">
      <c r="A37" s="266"/>
      <c r="B37" s="116"/>
      <c r="C37" s="115"/>
      <c r="D37" s="242"/>
      <c r="E37" s="242"/>
      <c r="F37" s="115"/>
      <c r="G37" s="123" t="s">
        <v>135</v>
      </c>
      <c r="H37" s="267"/>
    </row>
    <row r="38" spans="1:8" ht="13.35" customHeight="1">
      <c r="A38" s="100"/>
      <c r="B38" s="103">
        <v>23</v>
      </c>
      <c r="C38" s="103">
        <v>24</v>
      </c>
      <c r="D38" s="103">
        <v>25</v>
      </c>
      <c r="E38" s="103">
        <v>26</v>
      </c>
      <c r="F38" s="102" t="s">
        <v>100</v>
      </c>
      <c r="G38" s="102">
        <v>28</v>
      </c>
      <c r="H38" s="101">
        <v>29</v>
      </c>
    </row>
    <row r="39" spans="1:8">
      <c r="A39" s="104" t="s">
        <v>7</v>
      </c>
      <c r="B39" s="106" t="s">
        <v>137</v>
      </c>
      <c r="C39" s="106" t="s">
        <v>217</v>
      </c>
      <c r="D39" s="264" t="s">
        <v>135</v>
      </c>
      <c r="E39" s="264" t="s">
        <v>72</v>
      </c>
      <c r="F39" s="264" t="s">
        <v>72</v>
      </c>
      <c r="G39" s="265" t="s">
        <v>137</v>
      </c>
      <c r="H39" s="265" t="s">
        <v>214</v>
      </c>
    </row>
    <row r="40" spans="1:8">
      <c r="A40" s="223" t="s">
        <v>8</v>
      </c>
      <c r="B40" s="106" t="s">
        <v>72</v>
      </c>
      <c r="C40" s="97"/>
      <c r="D40" s="97"/>
      <c r="E40" s="97"/>
      <c r="F40" s="97"/>
      <c r="G40" s="97"/>
      <c r="H40" s="97"/>
    </row>
    <row r="41" spans="1:8">
      <c r="A41" s="107" t="s">
        <v>9</v>
      </c>
      <c r="B41" s="109" t="s">
        <v>251</v>
      </c>
      <c r="C41" s="109" t="s">
        <v>25</v>
      </c>
      <c r="D41" s="109" t="s">
        <v>146</v>
      </c>
      <c r="E41" s="106" t="s">
        <v>26</v>
      </c>
      <c r="F41" s="109" t="s">
        <v>26</v>
      </c>
      <c r="G41" s="109" t="s">
        <v>24</v>
      </c>
      <c r="H41" s="109" t="s">
        <v>24</v>
      </c>
    </row>
    <row r="42" spans="1:8">
      <c r="A42" s="107" t="s">
        <v>10</v>
      </c>
      <c r="B42" s="108"/>
      <c r="C42" s="108"/>
      <c r="D42" s="108"/>
      <c r="E42" s="109" t="s">
        <v>136</v>
      </c>
      <c r="F42" s="108"/>
      <c r="G42" s="108"/>
      <c r="H42" s="108"/>
    </row>
    <row r="43" spans="1:8" ht="13.35" customHeight="1">
      <c r="A43" s="107" t="s">
        <v>33</v>
      </c>
      <c r="B43" s="221"/>
      <c r="C43" s="108"/>
      <c r="D43" s="108"/>
      <c r="E43" s="109"/>
      <c r="F43" s="108"/>
      <c r="G43" s="108"/>
      <c r="H43" s="108"/>
    </row>
    <row r="44" spans="1:8">
      <c r="A44" s="100" t="s">
        <v>11</v>
      </c>
      <c r="B44" s="118"/>
      <c r="C44" s="105"/>
      <c r="D44" s="105" t="s">
        <v>36</v>
      </c>
      <c r="E44" s="105" t="s">
        <v>248</v>
      </c>
      <c r="F44" s="226"/>
      <c r="G44" s="111"/>
      <c r="H44" s="118"/>
    </row>
    <row r="45" spans="1:8">
      <c r="A45" s="100"/>
      <c r="B45" s="118"/>
      <c r="C45" s="105"/>
      <c r="D45" s="105"/>
      <c r="E45" s="336" t="s">
        <v>36</v>
      </c>
      <c r="F45" s="111"/>
      <c r="G45" s="358"/>
      <c r="H45" s="111"/>
    </row>
    <row r="46" spans="1:8" ht="12.75" thickBot="1">
      <c r="A46" s="114"/>
      <c r="B46" s="116"/>
      <c r="C46" s="115"/>
      <c r="D46" s="115"/>
      <c r="E46" s="115"/>
      <c r="F46" s="116"/>
      <c r="G46" s="237"/>
      <c r="H46" s="267"/>
    </row>
    <row r="47" spans="1:8" ht="13.35" customHeight="1">
      <c r="A47" s="100"/>
      <c r="B47" s="103">
        <v>30</v>
      </c>
      <c r="C47" s="126"/>
      <c r="D47" s="121"/>
      <c r="E47" s="121"/>
      <c r="F47" s="168"/>
      <c r="G47" s="168"/>
      <c r="H47" s="122"/>
    </row>
    <row r="48" spans="1:8" ht="13.35" customHeight="1">
      <c r="A48" s="104" t="s">
        <v>7</v>
      </c>
      <c r="B48" s="106" t="s">
        <v>214</v>
      </c>
      <c r="C48" s="127"/>
      <c r="D48" s="222"/>
      <c r="E48" s="222"/>
      <c r="F48" s="222"/>
      <c r="G48" s="324"/>
      <c r="H48" s="325"/>
    </row>
    <row r="49" spans="1:21" ht="13.35" customHeight="1">
      <c r="A49" s="223" t="s">
        <v>8</v>
      </c>
      <c r="B49" s="106" t="s">
        <v>34</v>
      </c>
      <c r="C49" s="127"/>
      <c r="H49" s="112"/>
    </row>
    <row r="50" spans="1:21" ht="13.35" customHeight="1">
      <c r="A50" s="107" t="s">
        <v>9</v>
      </c>
      <c r="B50" s="109" t="s">
        <v>24</v>
      </c>
      <c r="C50" s="127"/>
      <c r="H50" s="112"/>
    </row>
    <row r="51" spans="1:21" ht="13.35" customHeight="1">
      <c r="A51" s="107" t="s">
        <v>10</v>
      </c>
      <c r="B51" s="108"/>
      <c r="C51" s="127"/>
      <c r="H51" s="112"/>
    </row>
    <row r="52" spans="1:21" ht="13.35" customHeight="1">
      <c r="A52" s="100" t="s">
        <v>11</v>
      </c>
      <c r="B52" s="118"/>
      <c r="C52" s="127"/>
      <c r="H52" s="112"/>
    </row>
    <row r="53" spans="1:21" ht="13.35" customHeight="1">
      <c r="A53" s="100"/>
      <c r="B53" s="118"/>
      <c r="C53" s="127"/>
      <c r="D53" s="222"/>
      <c r="E53" s="222"/>
      <c r="H53" s="112"/>
    </row>
    <row r="54" spans="1:21" ht="13.35" customHeight="1" thickBot="1">
      <c r="A54" s="266"/>
      <c r="B54" s="116"/>
      <c r="C54" s="326"/>
      <c r="D54" s="327"/>
      <c r="E54" s="327"/>
      <c r="F54" s="321"/>
      <c r="G54" s="321"/>
      <c r="H54" s="328"/>
    </row>
    <row r="55" spans="1:21" ht="15" customHeight="1">
      <c r="A55" s="227" t="s">
        <v>17</v>
      </c>
      <c r="E55" s="4" t="s">
        <v>148</v>
      </c>
      <c r="H55" s="256" t="s">
        <v>296</v>
      </c>
    </row>
    <row r="56" spans="1:21">
      <c r="A56" s="4" t="s">
        <v>22</v>
      </c>
    </row>
    <row r="57" spans="1:21">
      <c r="A57" s="4" t="s">
        <v>30</v>
      </c>
      <c r="F57" s="119"/>
      <c r="G57" s="229" t="s">
        <v>13</v>
      </c>
      <c r="H57" s="268"/>
    </row>
    <row r="58" spans="1:21">
      <c r="A58" s="4" t="s">
        <v>31</v>
      </c>
    </row>
    <row r="59" spans="1:21" s="2" customFormat="1" ht="12" customHeight="1">
      <c r="A59" s="3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1"/>
    </row>
    <row r="60" spans="1:21" s="2" customFormat="1" ht="12" customHeight="1">
      <c r="A60" s="178" t="s">
        <v>92</v>
      </c>
      <c r="B60" s="51"/>
      <c r="C60" s="51"/>
      <c r="D60" s="51"/>
      <c r="E60" s="51"/>
      <c r="F60" s="51"/>
      <c r="G60" s="51"/>
      <c r="H60" s="51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1"/>
    </row>
    <row r="61" spans="1:21" s="2" customFormat="1" ht="12" customHeight="1" thickBot="1">
      <c r="A61" s="51" t="s">
        <v>141</v>
      </c>
      <c r="B61" s="51"/>
      <c r="C61" s="51"/>
      <c r="D61" s="51"/>
      <c r="E61" s="51"/>
      <c r="F61" s="51"/>
      <c r="G61" s="51"/>
      <c r="H61" s="51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1"/>
    </row>
    <row r="62" spans="1:21" s="2" customFormat="1" ht="12" customHeight="1">
      <c r="A62" s="75" t="s">
        <v>14</v>
      </c>
      <c r="B62" s="81"/>
      <c r="C62" s="175" t="s">
        <v>1</v>
      </c>
      <c r="D62" s="175" t="s">
        <v>2</v>
      </c>
      <c r="E62" s="175" t="s">
        <v>3</v>
      </c>
      <c r="F62" s="175" t="s">
        <v>4</v>
      </c>
      <c r="G62" s="175" t="s">
        <v>5</v>
      </c>
      <c r="H62" s="51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1"/>
    </row>
    <row r="63" spans="1:21" s="2" customFormat="1" ht="12" customHeight="1">
      <c r="A63" s="75"/>
      <c r="B63" s="173" t="s">
        <v>32</v>
      </c>
      <c r="C63" s="59"/>
      <c r="D63" s="174"/>
      <c r="E63" s="174"/>
      <c r="F63" s="174"/>
      <c r="G63" s="174"/>
      <c r="H63" s="51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1"/>
    </row>
    <row r="64" spans="1:21" s="2" customFormat="1" ht="12" customHeight="1">
      <c r="A64" s="39"/>
      <c r="B64" s="173" t="s">
        <v>15</v>
      </c>
      <c r="C64" s="170" t="s">
        <v>72</v>
      </c>
      <c r="D64" s="170" t="s">
        <v>34</v>
      </c>
      <c r="E64" s="170" t="s">
        <v>36</v>
      </c>
      <c r="F64" s="170" t="s">
        <v>35</v>
      </c>
      <c r="G64" s="170" t="s">
        <v>137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1"/>
    </row>
    <row r="65" spans="1:21" s="2" customFormat="1" ht="15">
      <c r="A65" s="39"/>
      <c r="B65" s="231"/>
      <c r="C65" s="233" t="s">
        <v>135</v>
      </c>
      <c r="D65" s="233"/>
      <c r="E65" s="233"/>
      <c r="F65" s="233"/>
      <c r="G65" s="233" t="s">
        <v>136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1"/>
    </row>
    <row r="66" spans="1:21" s="2" customFormat="1" ht="15">
      <c r="A66" s="39"/>
      <c r="B66" s="231"/>
      <c r="C66" s="193"/>
      <c r="D66" s="193"/>
      <c r="E66" s="193"/>
      <c r="F66" s="193"/>
      <c r="G66" s="19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1"/>
    </row>
    <row r="67" spans="1:21">
      <c r="A67" s="4" t="s">
        <v>101</v>
      </c>
    </row>
  </sheetData>
  <mergeCells count="1">
    <mergeCell ref="B1:H1"/>
  </mergeCells>
  <phoneticPr fontId="3" type="noConversion"/>
  <pageMargins left="0.3" right="0.25" top="0.6" bottom="0.25" header="0.3" footer="0.3"/>
  <pageSetup scale="64" orientation="landscape" r:id="rId1"/>
  <headerFooter>
    <oddHeader>&amp;C&amp;"Times New Roman,Bold"Ophthalmology Resident Call/Rounds Presentation/Vacation Schedule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65"/>
  <sheetViews>
    <sheetView zoomScale="78" zoomScaleNormal="78" zoomScalePageLayoutView="125" workbookViewId="0"/>
  </sheetViews>
  <sheetFormatPr defaultColWidth="8.7109375" defaultRowHeight="12"/>
  <cols>
    <col min="1" max="8" width="18.7109375" style="4" customWidth="1"/>
    <col min="9" max="21" width="8.7109375" style="3"/>
    <col min="22" max="25" width="8.7109375" style="41"/>
    <col min="26" max="16384" width="8.7109375" style="4"/>
  </cols>
  <sheetData>
    <row r="1" spans="1:20" ht="16.5" thickBot="1">
      <c r="B1" s="407" t="s">
        <v>107</v>
      </c>
      <c r="C1" s="408"/>
      <c r="D1" s="408"/>
      <c r="E1" s="408"/>
      <c r="F1" s="408"/>
      <c r="G1" s="408"/>
      <c r="H1" s="408"/>
      <c r="J1" s="3" t="s">
        <v>150</v>
      </c>
      <c r="K1" s="3" t="s">
        <v>67</v>
      </c>
      <c r="L1" s="3" t="s">
        <v>158</v>
      </c>
      <c r="M1" s="3" t="s">
        <v>153</v>
      </c>
      <c r="O1" s="3" t="s">
        <v>183</v>
      </c>
      <c r="P1" s="3" t="s">
        <v>57</v>
      </c>
      <c r="Q1" s="3" t="s">
        <v>184</v>
      </c>
      <c r="R1" s="3" t="s">
        <v>185</v>
      </c>
      <c r="T1" s="3" t="s">
        <v>188</v>
      </c>
    </row>
    <row r="2" spans="1:20" ht="12.75" thickBot="1">
      <c r="A2" s="98"/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  <c r="J2" s="3" t="s">
        <v>137</v>
      </c>
      <c r="K2" s="3" t="s">
        <v>156</v>
      </c>
      <c r="L2" s="3" t="s">
        <v>171</v>
      </c>
      <c r="M2" s="3" t="s">
        <v>160</v>
      </c>
      <c r="O2" s="3">
        <f>COUNTIF(C4:G49, "Jones")-5+1</f>
        <v>4</v>
      </c>
      <c r="P2" s="3">
        <f>COUNTIF(H4:H49, "Jones")</f>
        <v>0</v>
      </c>
      <c r="Q2" s="3">
        <f>O2+'November 2025'!Q2</f>
        <v>21</v>
      </c>
      <c r="R2" s="3">
        <f>P2+'November 2025'!R2</f>
        <v>3</v>
      </c>
      <c r="T2" s="3">
        <f>SUM(O2:P11)</f>
        <v>32</v>
      </c>
    </row>
    <row r="3" spans="1:20" ht="13.35" customHeight="1">
      <c r="A3" s="100"/>
      <c r="B3" s="101"/>
      <c r="C3" s="103">
        <v>1</v>
      </c>
      <c r="D3" s="103">
        <v>2</v>
      </c>
      <c r="E3" s="103">
        <v>3</v>
      </c>
      <c r="F3" s="103">
        <v>4</v>
      </c>
      <c r="G3" s="103">
        <v>5</v>
      </c>
      <c r="H3" s="103">
        <v>6</v>
      </c>
      <c r="J3" s="3" t="s">
        <v>134</v>
      </c>
      <c r="K3" s="3" t="s">
        <v>163</v>
      </c>
      <c r="L3" s="3" t="s">
        <v>178</v>
      </c>
      <c r="M3" s="3" t="s">
        <v>176</v>
      </c>
      <c r="O3" s="3">
        <f>COUNTIF(C4:G49, "Moezzi")-4</f>
        <v>3</v>
      </c>
      <c r="P3" s="3">
        <f>COUNTIF(H4:H50, "Moezzi")</f>
        <v>1</v>
      </c>
      <c r="Q3" s="3">
        <f>O3+'November 2025'!Q3</f>
        <v>17</v>
      </c>
      <c r="R3" s="3">
        <f>P3+'November 2025'!R3</f>
        <v>3</v>
      </c>
    </row>
    <row r="4" spans="1:20" ht="13.35" customHeight="1">
      <c r="A4" s="104" t="s">
        <v>7</v>
      </c>
      <c r="B4" s="105"/>
      <c r="C4" s="106" t="s">
        <v>137</v>
      </c>
      <c r="D4" s="106" t="s">
        <v>134</v>
      </c>
      <c r="E4" s="106" t="s">
        <v>136</v>
      </c>
      <c r="F4" s="106" t="s">
        <v>36</v>
      </c>
      <c r="G4" s="106" t="s">
        <v>136</v>
      </c>
      <c r="H4" s="106" t="s">
        <v>134</v>
      </c>
      <c r="J4" s="3" t="s">
        <v>135</v>
      </c>
      <c r="K4" s="3" t="s">
        <v>173</v>
      </c>
      <c r="O4" s="3">
        <f>COUNTIF(C4:G49,"Tung")</f>
        <v>0</v>
      </c>
      <c r="P4" s="3">
        <f>COUNTIF(H4:H49, "Tung")</f>
        <v>0</v>
      </c>
      <c r="Q4" s="3">
        <f>O4+'November 2025'!Q4</f>
        <v>18</v>
      </c>
      <c r="R4" s="3">
        <f>P4+'November 2025'!R4</f>
        <v>3</v>
      </c>
      <c r="S4" s="52"/>
      <c r="T4" s="52"/>
    </row>
    <row r="5" spans="1:20" ht="13.35" customHeight="1">
      <c r="A5" s="223" t="s">
        <v>8</v>
      </c>
      <c r="B5" s="105"/>
      <c r="C5" s="108"/>
      <c r="D5" s="108"/>
      <c r="E5" s="108"/>
      <c r="F5" s="108"/>
      <c r="G5" s="108"/>
      <c r="H5" s="108"/>
      <c r="J5" s="3" t="s">
        <v>136</v>
      </c>
      <c r="K5" s="3" t="s">
        <v>164</v>
      </c>
      <c r="L5" s="3" t="s">
        <v>167</v>
      </c>
      <c r="M5" s="3" t="s">
        <v>69</v>
      </c>
      <c r="O5" s="3">
        <f>COUNTIF(C4:G49, "Wen")-5</f>
        <v>4</v>
      </c>
      <c r="P5" s="3">
        <f>COUNTIF(H4:H49, "Wen")</f>
        <v>1</v>
      </c>
      <c r="Q5" s="3">
        <f>O5+'November 2025'!Q5</f>
        <v>21</v>
      </c>
      <c r="R5" s="3">
        <f>P5+'November 2025'!R5</f>
        <v>4</v>
      </c>
    </row>
    <row r="6" spans="1:20" ht="13.35" customHeight="1">
      <c r="A6" s="107" t="s">
        <v>9</v>
      </c>
      <c r="B6" s="105"/>
      <c r="C6" s="106" t="s">
        <v>24</v>
      </c>
      <c r="D6" s="106" t="s">
        <v>146</v>
      </c>
      <c r="E6" s="106" t="s">
        <v>26</v>
      </c>
      <c r="F6" s="106" t="s">
        <v>24</v>
      </c>
      <c r="G6" s="106" t="s">
        <v>26</v>
      </c>
      <c r="H6" s="106" t="s">
        <v>26</v>
      </c>
      <c r="J6" s="3" t="s">
        <v>151</v>
      </c>
      <c r="K6" s="3" t="s">
        <v>67</v>
      </c>
    </row>
    <row r="7" spans="1:20" ht="13.35" customHeight="1">
      <c r="A7" s="107" t="s">
        <v>10</v>
      </c>
      <c r="B7" s="105"/>
      <c r="C7" s="108"/>
      <c r="D7" s="108"/>
      <c r="E7" s="224" t="s">
        <v>62</v>
      </c>
      <c r="F7" s="108"/>
      <c r="G7" s="108"/>
      <c r="H7" s="108"/>
      <c r="J7" s="3" t="s">
        <v>35</v>
      </c>
      <c r="K7" s="3" t="s">
        <v>157</v>
      </c>
      <c r="L7" s="3" t="s">
        <v>69</v>
      </c>
      <c r="M7" s="3" t="s">
        <v>175</v>
      </c>
      <c r="O7" s="3">
        <f>COUNTIF(C3:G49, "Miller")</f>
        <v>6</v>
      </c>
      <c r="P7" s="3">
        <f>COUNTIF(H3:H54, "Miller")</f>
        <v>0</v>
      </c>
      <c r="Q7" s="3">
        <f>O7+'November 2025'!Q7</f>
        <v>20</v>
      </c>
      <c r="R7" s="3">
        <f>P7+'November 2025'!R7</f>
        <v>2</v>
      </c>
    </row>
    <row r="8" spans="1:20" ht="13.35" customHeight="1">
      <c r="A8" s="100" t="s">
        <v>11</v>
      </c>
      <c r="B8" s="105"/>
      <c r="C8" s="336" t="s">
        <v>25</v>
      </c>
      <c r="D8" s="336" t="s">
        <v>25</v>
      </c>
      <c r="E8" s="336" t="s">
        <v>25</v>
      </c>
      <c r="F8" s="336" t="s">
        <v>25</v>
      </c>
      <c r="G8" s="336" t="s">
        <v>25</v>
      </c>
      <c r="H8" s="118"/>
      <c r="J8" s="3" t="s">
        <v>36</v>
      </c>
      <c r="K8" s="3" t="s">
        <v>165</v>
      </c>
      <c r="L8" s="3" t="s">
        <v>166</v>
      </c>
      <c r="M8" s="3" t="s">
        <v>69</v>
      </c>
      <c r="O8" s="3">
        <f>COUNTIF(C3:G49, "Philbrick")+1</f>
        <v>6</v>
      </c>
      <c r="P8" s="3">
        <f>COUNTIF(H3:H55, "Philbrick")</f>
        <v>0</v>
      </c>
      <c r="Q8" s="3">
        <f>O8+'November 2025'!Q8</f>
        <v>21</v>
      </c>
      <c r="R8" s="3">
        <f>P8+'November 2025'!R8</f>
        <v>4</v>
      </c>
    </row>
    <row r="9" spans="1:20" ht="13.35" customHeight="1">
      <c r="A9" s="100"/>
      <c r="B9" s="105"/>
      <c r="C9" s="105" t="s">
        <v>36</v>
      </c>
      <c r="D9" s="105" t="s">
        <v>72</v>
      </c>
      <c r="E9" s="105" t="s">
        <v>72</v>
      </c>
      <c r="F9" s="105" t="s">
        <v>72</v>
      </c>
      <c r="G9" s="336" t="s">
        <v>26</v>
      </c>
      <c r="H9" s="118"/>
    </row>
    <row r="10" spans="1:20" ht="13.35" customHeight="1">
      <c r="A10" s="100"/>
      <c r="B10" s="105"/>
      <c r="C10" s="105" t="s">
        <v>72</v>
      </c>
      <c r="D10" s="105" t="s">
        <v>202</v>
      </c>
      <c r="E10" s="105" t="s">
        <v>202</v>
      </c>
      <c r="F10" s="105" t="s">
        <v>202</v>
      </c>
      <c r="G10" s="105" t="s">
        <v>218</v>
      </c>
      <c r="H10" s="118"/>
      <c r="J10" s="3" t="s">
        <v>72</v>
      </c>
      <c r="K10" s="3" t="s">
        <v>154</v>
      </c>
      <c r="L10" s="3" t="s">
        <v>172</v>
      </c>
      <c r="M10" s="3" t="s">
        <v>159</v>
      </c>
      <c r="O10" s="3">
        <f>COUNTIF(C3:G49, "Sears")-5</f>
        <v>0</v>
      </c>
      <c r="P10" s="3">
        <f>COUNTIF(H4:H54, "Sears")</f>
        <v>1</v>
      </c>
      <c r="Q10" s="3">
        <f>O10+'November 2025'!Q9</f>
        <v>22</v>
      </c>
      <c r="R10" s="3">
        <f>P10+'November 2025'!R9</f>
        <v>3</v>
      </c>
    </row>
    <row r="11" spans="1:20" ht="13.35" customHeight="1">
      <c r="A11" s="100"/>
      <c r="B11" s="105"/>
      <c r="C11" s="105" t="s">
        <v>202</v>
      </c>
      <c r="D11" s="105"/>
      <c r="E11" s="105"/>
      <c r="F11" s="105"/>
      <c r="G11" s="336" t="s">
        <v>72</v>
      </c>
      <c r="H11" s="118"/>
      <c r="J11" s="3" t="s">
        <v>34</v>
      </c>
      <c r="K11" s="3" t="s">
        <v>155</v>
      </c>
      <c r="L11" s="3" t="s">
        <v>167</v>
      </c>
      <c r="M11" s="3" t="s">
        <v>69</v>
      </c>
      <c r="O11" s="3">
        <f>COUNTIF(C3:G49, "Thompson")+2</f>
        <v>5</v>
      </c>
      <c r="P11" s="3">
        <f>COUNTIF(H3:H54, "Thompson")</f>
        <v>1</v>
      </c>
      <c r="Q11" s="3">
        <f>O11+'November 2025'!Q10</f>
        <v>21</v>
      </c>
      <c r="R11" s="3">
        <f>P11+'November 2025'!R10</f>
        <v>3</v>
      </c>
    </row>
    <row r="12" spans="1:20" ht="13.35" customHeight="1">
      <c r="A12" s="100"/>
      <c r="B12" s="105"/>
      <c r="C12" s="105"/>
      <c r="D12" s="105"/>
      <c r="E12" s="105"/>
      <c r="F12" s="105"/>
      <c r="G12" s="4" t="s">
        <v>260</v>
      </c>
      <c r="H12" s="118"/>
    </row>
    <row r="13" spans="1:20" ht="13.35" customHeight="1">
      <c r="A13" s="100"/>
      <c r="B13" s="105"/>
      <c r="C13" s="105"/>
      <c r="D13" s="105"/>
      <c r="E13" s="105"/>
      <c r="F13" s="105"/>
      <c r="G13" s="4" t="s">
        <v>297</v>
      </c>
      <c r="H13" s="118"/>
    </row>
    <row r="14" spans="1:20" ht="13.35" customHeight="1">
      <c r="A14" s="100"/>
      <c r="B14" s="105"/>
      <c r="C14" s="105"/>
      <c r="D14" s="105"/>
      <c r="E14" s="105"/>
      <c r="F14" s="105"/>
      <c r="G14" s="4" t="s">
        <v>202</v>
      </c>
      <c r="H14" s="118"/>
    </row>
    <row r="15" spans="1:20" ht="13.35" customHeight="1" thickBot="1">
      <c r="A15" s="114"/>
      <c r="B15" s="319"/>
      <c r="C15" s="115"/>
      <c r="D15" s="115"/>
      <c r="E15" s="115"/>
      <c r="F15" s="115"/>
      <c r="G15" s="115" t="s">
        <v>203</v>
      </c>
      <c r="H15" s="113"/>
      <c r="J15" s="3" t="s">
        <v>152</v>
      </c>
      <c r="K15" s="3" t="s">
        <v>67</v>
      </c>
    </row>
    <row r="16" spans="1:20" ht="13.35" customHeight="1">
      <c r="A16" s="100" t="s">
        <v>19</v>
      </c>
      <c r="B16" s="103">
        <v>7</v>
      </c>
      <c r="C16" s="103">
        <v>8</v>
      </c>
      <c r="D16" s="103">
        <v>9</v>
      </c>
      <c r="E16" s="103">
        <v>10</v>
      </c>
      <c r="F16" s="103">
        <v>11</v>
      </c>
      <c r="G16" s="102">
        <v>12</v>
      </c>
      <c r="H16" s="102">
        <v>13</v>
      </c>
      <c r="J16" s="3" t="s">
        <v>24</v>
      </c>
      <c r="K16" s="3" t="s">
        <v>168</v>
      </c>
      <c r="L16" s="3" t="s">
        <v>191</v>
      </c>
      <c r="M16" s="3" t="s">
        <v>192</v>
      </c>
      <c r="O16" s="3">
        <f>COUNTIF(C3:G48,"Dieu")-4</f>
        <v>4</v>
      </c>
      <c r="P16" s="3">
        <f>COUNTIF(H4:H38,"Dieu")</f>
        <v>0</v>
      </c>
      <c r="Q16" s="3">
        <f>O16+'November 2025'!Q12</f>
        <v>28</v>
      </c>
      <c r="R16" s="3">
        <f>P16+'November 2025'!R12</f>
        <v>6</v>
      </c>
    </row>
    <row r="17" spans="1:18" ht="13.35" customHeight="1">
      <c r="A17" s="104" t="s">
        <v>7</v>
      </c>
      <c r="B17" s="106" t="s">
        <v>134</v>
      </c>
      <c r="C17" s="106" t="s">
        <v>35</v>
      </c>
      <c r="D17" s="106" t="s">
        <v>216</v>
      </c>
      <c r="E17" s="106" t="s">
        <v>136</v>
      </c>
      <c r="F17" s="106" t="s">
        <v>36</v>
      </c>
      <c r="G17" s="106" t="s">
        <v>35</v>
      </c>
      <c r="H17" s="106" t="s">
        <v>34</v>
      </c>
      <c r="J17" s="3" t="s">
        <v>25</v>
      </c>
      <c r="K17" s="3" t="s">
        <v>155</v>
      </c>
      <c r="L17" s="3" t="s">
        <v>190</v>
      </c>
      <c r="M17" s="3" t="s">
        <v>161</v>
      </c>
      <c r="O17" s="3">
        <f>COUNTIF(C3:G48,"Huynh")-5</f>
        <v>7</v>
      </c>
      <c r="P17" s="3">
        <f>COUNTIF(H4:H38,"Huynh")</f>
        <v>2</v>
      </c>
      <c r="Q17" s="3">
        <f>O17+'November 2025'!Q13</f>
        <v>34</v>
      </c>
      <c r="R17" s="3">
        <f>P17+'November 2025'!R13</f>
        <v>6</v>
      </c>
    </row>
    <row r="18" spans="1:18" ht="13.35" customHeight="1">
      <c r="A18" s="223" t="s">
        <v>8</v>
      </c>
      <c r="B18" s="109" t="s">
        <v>135</v>
      </c>
      <c r="C18" s="108"/>
      <c r="D18" s="108"/>
      <c r="E18" s="108"/>
      <c r="F18" s="108"/>
      <c r="G18" s="108"/>
      <c r="H18" s="108"/>
      <c r="J18" s="3" t="s">
        <v>26</v>
      </c>
      <c r="K18" s="3" t="s">
        <v>170</v>
      </c>
      <c r="L18" s="3" t="s">
        <v>193</v>
      </c>
      <c r="M18" s="3" t="s">
        <v>69</v>
      </c>
      <c r="O18" s="3">
        <f>COUNTIF(C3:G48,"Mathew")-4</f>
        <v>5</v>
      </c>
      <c r="P18" s="3">
        <f>COUNTIF(H4:H38,"Mathew")</f>
        <v>2</v>
      </c>
      <c r="Q18" s="3">
        <f>O18+'November 2025'!Q14</f>
        <v>32</v>
      </c>
      <c r="R18" s="3">
        <f>P18+'November 2025'!R14</f>
        <v>7</v>
      </c>
    </row>
    <row r="19" spans="1:18" ht="13.35" customHeight="1">
      <c r="A19" s="107" t="s">
        <v>9</v>
      </c>
      <c r="B19" s="4" t="s">
        <v>26</v>
      </c>
      <c r="C19" s="105" t="s">
        <v>25</v>
      </c>
      <c r="D19" s="105" t="s">
        <v>26</v>
      </c>
      <c r="E19" s="105" t="s">
        <v>26</v>
      </c>
      <c r="F19" s="105" t="s">
        <v>25</v>
      </c>
      <c r="G19" s="109" t="s">
        <v>146</v>
      </c>
      <c r="H19" s="109" t="s">
        <v>25</v>
      </c>
      <c r="J19" s="3" t="s">
        <v>146</v>
      </c>
      <c r="K19" s="3" t="s">
        <v>169</v>
      </c>
      <c r="O19" s="3">
        <f>COUNTIF(C3:G48,"Noh")-4</f>
        <v>0</v>
      </c>
      <c r="P19" s="3">
        <f>COUNTIF(H4:H38,"Noh")</f>
        <v>0</v>
      </c>
      <c r="Q19" s="3">
        <f>O19+'November 2025'!Q15</f>
        <v>25</v>
      </c>
      <c r="R19" s="3">
        <f>P19+'November 2025'!R15</f>
        <v>5</v>
      </c>
    </row>
    <row r="20" spans="1:18" ht="13.35" customHeight="1">
      <c r="A20" s="107" t="s">
        <v>10</v>
      </c>
      <c r="B20" s="108"/>
      <c r="C20" s="108"/>
      <c r="D20" s="108"/>
      <c r="E20" s="109" t="s">
        <v>137</v>
      </c>
      <c r="F20" s="108"/>
      <c r="G20" s="108"/>
      <c r="H20" s="108"/>
    </row>
    <row r="21" spans="1:18" ht="13.35" customHeight="1">
      <c r="A21" s="100" t="s">
        <v>11</v>
      </c>
      <c r="B21" s="118"/>
      <c r="C21" s="336" t="s">
        <v>24</v>
      </c>
      <c r="D21" s="336" t="s">
        <v>24</v>
      </c>
      <c r="E21" s="336" t="s">
        <v>24</v>
      </c>
      <c r="F21" s="336" t="s">
        <v>24</v>
      </c>
      <c r="G21" s="336" t="s">
        <v>242</v>
      </c>
      <c r="H21" s="118"/>
      <c r="J21" s="3" t="s">
        <v>189</v>
      </c>
    </row>
    <row r="22" spans="1:18" ht="13.35" customHeight="1">
      <c r="A22" s="100"/>
      <c r="B22" s="118"/>
      <c r="D22" s="105"/>
      <c r="E22" s="127"/>
      <c r="F22" s="105" t="s">
        <v>298</v>
      </c>
      <c r="G22" s="111"/>
      <c r="H22" s="118"/>
    </row>
    <row r="23" spans="1:18" ht="13.35" customHeight="1" thickBot="1">
      <c r="A23" s="114"/>
      <c r="B23" s="113"/>
      <c r="C23" s="115"/>
      <c r="D23" s="115"/>
      <c r="E23" s="115"/>
      <c r="F23" s="115"/>
      <c r="G23" s="116"/>
      <c r="H23" s="113"/>
    </row>
    <row r="24" spans="1:18" ht="13.35" customHeight="1">
      <c r="A24" s="100" t="s">
        <v>19</v>
      </c>
      <c r="B24" s="103">
        <v>14</v>
      </c>
      <c r="C24" s="103">
        <v>15</v>
      </c>
      <c r="D24" s="103">
        <v>16</v>
      </c>
      <c r="E24" s="103">
        <v>17</v>
      </c>
      <c r="F24" s="102">
        <v>18</v>
      </c>
      <c r="G24" s="102">
        <v>19</v>
      </c>
      <c r="H24" s="103">
        <v>20</v>
      </c>
    </row>
    <row r="25" spans="1:18" ht="13.35" customHeight="1">
      <c r="A25" s="104" t="s">
        <v>7</v>
      </c>
      <c r="B25" s="106" t="s">
        <v>34</v>
      </c>
      <c r="C25" s="106" t="s">
        <v>299</v>
      </c>
      <c r="D25" s="4" t="s">
        <v>137</v>
      </c>
      <c r="E25" s="106" t="s">
        <v>34</v>
      </c>
      <c r="F25" s="106" t="s">
        <v>134</v>
      </c>
      <c r="G25" s="106" t="s">
        <v>35</v>
      </c>
      <c r="H25" s="106" t="s">
        <v>72</v>
      </c>
    </row>
    <row r="26" spans="1:18" ht="13.35" customHeight="1">
      <c r="A26" s="223" t="s">
        <v>8</v>
      </c>
      <c r="B26" s="106" t="s">
        <v>137</v>
      </c>
      <c r="C26" s="108"/>
      <c r="D26" s="108"/>
      <c r="E26" s="108"/>
      <c r="F26" s="108"/>
      <c r="G26" s="108"/>
      <c r="H26" s="108"/>
    </row>
    <row r="27" spans="1:18" ht="13.35" customHeight="1">
      <c r="A27" s="107" t="s">
        <v>9</v>
      </c>
      <c r="B27" s="269" t="s">
        <v>25</v>
      </c>
      <c r="C27" s="105" t="s">
        <v>24</v>
      </c>
      <c r="D27" s="105" t="s">
        <v>25</v>
      </c>
      <c r="E27" s="105" t="s">
        <v>26</v>
      </c>
      <c r="F27" s="105" t="s">
        <v>25</v>
      </c>
      <c r="G27" s="105" t="s">
        <v>26</v>
      </c>
      <c r="H27" s="112" t="s">
        <v>26</v>
      </c>
    </row>
    <row r="28" spans="1:18" ht="12.75" customHeight="1">
      <c r="A28" s="270" t="s">
        <v>10</v>
      </c>
      <c r="B28" s="108"/>
      <c r="C28" s="108"/>
      <c r="D28" s="108"/>
      <c r="E28" s="109" t="s">
        <v>203</v>
      </c>
      <c r="F28" s="108"/>
      <c r="G28" s="108"/>
      <c r="H28" s="108"/>
    </row>
    <row r="29" spans="1:18" ht="12.75" customHeight="1">
      <c r="A29" s="271" t="s">
        <v>11</v>
      </c>
      <c r="B29" s="118"/>
      <c r="C29" s="336" t="s">
        <v>136</v>
      </c>
      <c r="D29" s="105" t="s">
        <v>136</v>
      </c>
      <c r="E29" s="105" t="s">
        <v>301</v>
      </c>
      <c r="F29" s="336" t="s">
        <v>300</v>
      </c>
      <c r="G29" s="336" t="s">
        <v>242</v>
      </c>
      <c r="H29" s="118"/>
    </row>
    <row r="30" spans="1:18" ht="13.35" customHeight="1">
      <c r="A30" s="271"/>
      <c r="B30" s="118"/>
      <c r="C30" s="105"/>
      <c r="D30" s="105"/>
      <c r="E30" s="105" t="s">
        <v>222</v>
      </c>
      <c r="F30" s="105" t="s">
        <v>249</v>
      </c>
      <c r="G30" s="105" t="s">
        <v>136</v>
      </c>
      <c r="H30" s="118"/>
    </row>
    <row r="31" spans="1:18" ht="13.35" customHeight="1" thickBot="1">
      <c r="A31" s="272"/>
      <c r="B31" s="113"/>
      <c r="C31" s="115"/>
      <c r="D31" s="115"/>
      <c r="E31" s="115" t="s">
        <v>136</v>
      </c>
      <c r="F31" s="115" t="s">
        <v>136</v>
      </c>
      <c r="G31" s="115"/>
      <c r="H31" s="113"/>
    </row>
    <row r="32" spans="1:18" ht="13.35" customHeight="1">
      <c r="A32" s="273" t="s">
        <v>19</v>
      </c>
      <c r="B32" s="103">
        <v>21</v>
      </c>
      <c r="C32" s="102">
        <v>22</v>
      </c>
      <c r="D32" s="102">
        <v>23</v>
      </c>
      <c r="E32" s="102">
        <v>24</v>
      </c>
      <c r="F32" s="102" t="s">
        <v>201</v>
      </c>
      <c r="G32" s="101">
        <v>26</v>
      </c>
      <c r="H32" s="122">
        <v>27</v>
      </c>
    </row>
    <row r="33" spans="1:8" ht="13.35" customHeight="1">
      <c r="A33" s="274" t="s">
        <v>7</v>
      </c>
      <c r="B33" s="106" t="s">
        <v>72</v>
      </c>
      <c r="C33" s="106" t="s">
        <v>35</v>
      </c>
      <c r="D33" s="106" t="s">
        <v>136</v>
      </c>
      <c r="E33" s="106" t="s">
        <v>34</v>
      </c>
      <c r="F33" s="106" t="s">
        <v>34</v>
      </c>
      <c r="G33" s="106" t="s">
        <v>35</v>
      </c>
      <c r="H33" s="112" t="s">
        <v>136</v>
      </c>
    </row>
    <row r="34" spans="1:8" ht="13.35" customHeight="1">
      <c r="A34" s="275" t="s">
        <v>8</v>
      </c>
      <c r="B34" s="106" t="s">
        <v>34</v>
      </c>
      <c r="C34" s="108"/>
      <c r="D34" s="108"/>
      <c r="E34" s="108"/>
      <c r="F34" s="108"/>
      <c r="G34" s="108"/>
      <c r="H34" s="108"/>
    </row>
    <row r="35" spans="1:8" ht="13.35" customHeight="1">
      <c r="A35" s="276" t="s">
        <v>9</v>
      </c>
      <c r="B35" s="109" t="s">
        <v>26</v>
      </c>
      <c r="C35" s="109" t="s">
        <v>24</v>
      </c>
      <c r="D35" s="105" t="s">
        <v>26</v>
      </c>
      <c r="E35" s="105" t="s">
        <v>25</v>
      </c>
      <c r="F35" s="105" t="s">
        <v>25</v>
      </c>
      <c r="G35" s="105" t="s">
        <v>146</v>
      </c>
      <c r="H35" s="112" t="s">
        <v>25</v>
      </c>
    </row>
    <row r="36" spans="1:8" ht="13.35" customHeight="1">
      <c r="A36" s="276" t="s">
        <v>10</v>
      </c>
      <c r="B36" s="108"/>
      <c r="C36" s="108"/>
      <c r="D36" s="108"/>
      <c r="E36" s="109" t="s">
        <v>36</v>
      </c>
      <c r="F36" s="108"/>
      <c r="G36" s="108"/>
      <c r="H36" s="97"/>
    </row>
    <row r="37" spans="1:8" ht="13.35" customHeight="1">
      <c r="A37" s="107" t="s">
        <v>33</v>
      </c>
      <c r="B37" s="221"/>
      <c r="C37" s="108"/>
      <c r="D37" s="108"/>
      <c r="E37" s="109"/>
      <c r="F37" s="108"/>
      <c r="G37" s="108"/>
      <c r="H37" s="108"/>
    </row>
    <row r="38" spans="1:8" ht="12.75" customHeight="1">
      <c r="A38" s="277" t="s">
        <v>11</v>
      </c>
      <c r="B38" s="239"/>
      <c r="C38" s="110" t="s">
        <v>137</v>
      </c>
      <c r="D38" s="335" t="s">
        <v>137</v>
      </c>
      <c r="E38" s="110" t="s">
        <v>346</v>
      </c>
      <c r="F38" s="226"/>
      <c r="G38" s="110" t="s">
        <v>36</v>
      </c>
      <c r="H38" s="278"/>
    </row>
    <row r="39" spans="1:8" ht="12.75" customHeight="1">
      <c r="A39" s="277"/>
      <c r="B39" s="239"/>
      <c r="C39" s="105" t="s">
        <v>134</v>
      </c>
      <c r="D39" s="105" t="s">
        <v>134</v>
      </c>
      <c r="E39" s="110" t="s">
        <v>137</v>
      </c>
      <c r="F39" s="111"/>
      <c r="G39" s="105" t="s">
        <v>137</v>
      </c>
      <c r="H39" s="278"/>
    </row>
    <row r="40" spans="1:8" ht="12.75" customHeight="1">
      <c r="A40" s="277"/>
      <c r="B40" s="239"/>
      <c r="C40" s="105" t="s">
        <v>203</v>
      </c>
      <c r="D40" s="105" t="s">
        <v>203</v>
      </c>
      <c r="E40" s="105" t="s">
        <v>134</v>
      </c>
      <c r="F40" s="111"/>
      <c r="G40" s="336" t="s">
        <v>134</v>
      </c>
      <c r="H40" s="278"/>
    </row>
    <row r="41" spans="1:8" ht="12.75" customHeight="1">
      <c r="A41" s="277"/>
      <c r="B41" s="239"/>
      <c r="C41" s="105" t="s">
        <v>205</v>
      </c>
      <c r="D41" s="105" t="s">
        <v>205</v>
      </c>
      <c r="E41" s="105" t="s">
        <v>203</v>
      </c>
      <c r="F41" s="111"/>
      <c r="G41" s="105" t="s">
        <v>203</v>
      </c>
      <c r="H41" s="278"/>
    </row>
    <row r="42" spans="1:8" ht="12.75" customHeight="1" thickBot="1">
      <c r="A42" s="280"/>
      <c r="B42" s="279"/>
      <c r="C42" s="115"/>
      <c r="D42" s="115"/>
      <c r="E42" s="319" t="s">
        <v>205</v>
      </c>
      <c r="F42" s="116"/>
      <c r="G42" s="115" t="s">
        <v>205</v>
      </c>
      <c r="H42" s="129"/>
    </row>
    <row r="43" spans="1:8" ht="13.35" customHeight="1">
      <c r="A43" s="273" t="s">
        <v>19</v>
      </c>
      <c r="B43" s="103">
        <v>28</v>
      </c>
      <c r="C43" s="103">
        <v>29</v>
      </c>
      <c r="D43" s="103">
        <v>30</v>
      </c>
      <c r="E43" s="103">
        <v>31</v>
      </c>
      <c r="H43" s="112"/>
    </row>
    <row r="44" spans="1:8" ht="13.35" customHeight="1">
      <c r="A44" s="274" t="s">
        <v>7</v>
      </c>
      <c r="B44" s="106" t="s">
        <v>136</v>
      </c>
      <c r="C44" s="106" t="s">
        <v>137</v>
      </c>
      <c r="D44" s="105" t="s">
        <v>134</v>
      </c>
      <c r="E44" s="105" t="s">
        <v>35</v>
      </c>
      <c r="H44" s="112"/>
    </row>
    <row r="45" spans="1:8" ht="13.35" customHeight="1">
      <c r="A45" s="275" t="s">
        <v>8</v>
      </c>
      <c r="B45" s="106" t="s">
        <v>35</v>
      </c>
      <c r="C45" s="108"/>
      <c r="D45" s="108"/>
      <c r="E45" s="108"/>
      <c r="H45" s="112"/>
    </row>
    <row r="46" spans="1:8" ht="13.35" customHeight="1">
      <c r="A46" s="276" t="s">
        <v>9</v>
      </c>
      <c r="B46" s="109" t="s">
        <v>25</v>
      </c>
      <c r="C46" s="105" t="s">
        <v>25</v>
      </c>
      <c r="D46" s="105" t="s">
        <v>146</v>
      </c>
      <c r="E46" s="105" t="s">
        <v>26</v>
      </c>
      <c r="H46" s="112"/>
    </row>
    <row r="47" spans="1:8" ht="13.35" customHeight="1">
      <c r="A47" s="276" t="s">
        <v>10</v>
      </c>
      <c r="B47" s="108"/>
      <c r="C47" s="108"/>
      <c r="D47" s="108"/>
      <c r="E47" s="108"/>
      <c r="H47" s="112"/>
    </row>
    <row r="48" spans="1:8" ht="12.75" customHeight="1">
      <c r="A48" s="277" t="s">
        <v>11</v>
      </c>
      <c r="B48" s="239"/>
      <c r="C48" s="105" t="s">
        <v>347</v>
      </c>
      <c r="D48" s="105" t="s">
        <v>347</v>
      </c>
      <c r="E48" s="105" t="s">
        <v>347</v>
      </c>
      <c r="H48" s="112"/>
    </row>
    <row r="49" spans="1:25" ht="12.75" customHeight="1">
      <c r="A49" s="277"/>
      <c r="B49" s="239"/>
      <c r="C49" s="105"/>
      <c r="D49" s="105" t="s">
        <v>260</v>
      </c>
      <c r="E49" s="105" t="s">
        <v>348</v>
      </c>
      <c r="H49" s="112"/>
    </row>
    <row r="50" spans="1:25" ht="12" customHeight="1" thickBot="1">
      <c r="A50" s="281"/>
      <c r="B50" s="282"/>
      <c r="C50" s="115"/>
      <c r="D50" s="115" t="s">
        <v>259</v>
      </c>
      <c r="E50" s="115"/>
      <c r="F50" s="123"/>
      <c r="G50" s="123"/>
      <c r="H50" s="117"/>
    </row>
    <row r="51" spans="1:25" ht="12" customHeight="1">
      <c r="H51" s="268" t="s">
        <v>349</v>
      </c>
    </row>
    <row r="52" spans="1:25" ht="12" customHeight="1">
      <c r="A52" s="227" t="s">
        <v>17</v>
      </c>
      <c r="G52" s="229" t="s">
        <v>13</v>
      </c>
      <c r="H52" s="268"/>
    </row>
    <row r="53" spans="1:25" ht="12" customHeight="1">
      <c r="A53" s="4" t="s">
        <v>20</v>
      </c>
      <c r="H53" s="268"/>
    </row>
    <row r="54" spans="1:25" ht="12" customHeight="1">
      <c r="A54" s="4" t="s">
        <v>38</v>
      </c>
    </row>
    <row r="55" spans="1:25" s="2" customFormat="1" ht="12" customHeight="1">
      <c r="A55" s="3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1"/>
      <c r="W55" s="41"/>
      <c r="X55" s="41"/>
      <c r="Y55" s="41"/>
    </row>
    <row r="56" spans="1:25" s="2" customFormat="1" ht="12" customHeight="1">
      <c r="A56" s="178" t="s">
        <v>92</v>
      </c>
      <c r="B56" s="51"/>
      <c r="C56" s="51"/>
      <c r="D56" s="51"/>
      <c r="E56" s="51"/>
      <c r="F56" s="51"/>
      <c r="G56" s="51"/>
      <c r="H56" s="5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1"/>
      <c r="W56" s="41"/>
      <c r="X56" s="41"/>
      <c r="Y56" s="41"/>
    </row>
    <row r="57" spans="1:25" s="2" customFormat="1" ht="12" customHeight="1" thickBot="1">
      <c r="A57" s="51" t="s">
        <v>142</v>
      </c>
      <c r="B57" s="51"/>
      <c r="C57" s="51"/>
      <c r="D57" s="51"/>
      <c r="E57" s="51"/>
      <c r="F57" s="51"/>
      <c r="G57" s="51"/>
      <c r="H57" s="5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1"/>
      <c r="W57" s="41"/>
      <c r="X57" s="41"/>
      <c r="Y57" s="41"/>
    </row>
    <row r="58" spans="1:25" s="2" customFormat="1" ht="12" customHeight="1">
      <c r="A58" s="75" t="s">
        <v>14</v>
      </c>
      <c r="B58" s="81"/>
      <c r="C58" s="175" t="s">
        <v>1</v>
      </c>
      <c r="D58" s="175" t="s">
        <v>2</v>
      </c>
      <c r="E58" s="175" t="s">
        <v>3</v>
      </c>
      <c r="F58" s="175" t="s">
        <v>4</v>
      </c>
      <c r="G58" s="175" t="s">
        <v>5</v>
      </c>
      <c r="H58" s="5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1"/>
      <c r="W58" s="41"/>
      <c r="X58" s="41"/>
      <c r="Y58" s="41"/>
    </row>
    <row r="59" spans="1:25" s="2" customFormat="1" ht="12" customHeight="1">
      <c r="A59" s="75"/>
      <c r="B59" s="173" t="s">
        <v>32</v>
      </c>
      <c r="C59" s="59"/>
      <c r="D59" s="174"/>
      <c r="E59" s="174"/>
      <c r="F59" s="174"/>
      <c r="G59" s="174"/>
      <c r="H59" s="5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1"/>
      <c r="W59" s="41"/>
      <c r="X59" s="41"/>
      <c r="Y59" s="41"/>
    </row>
    <row r="60" spans="1:25" s="2" customFormat="1" ht="12" customHeight="1">
      <c r="A60" s="39"/>
      <c r="B60" s="173" t="s">
        <v>15</v>
      </c>
      <c r="C60" s="170" t="s">
        <v>34</v>
      </c>
      <c r="D60" s="170" t="s">
        <v>137</v>
      </c>
      <c r="E60" s="170" t="s">
        <v>35</v>
      </c>
      <c r="F60" s="170" t="s">
        <v>36</v>
      </c>
      <c r="G60" s="170" t="s">
        <v>72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1"/>
      <c r="W60" s="41"/>
      <c r="X60" s="41"/>
      <c r="Y60" s="41"/>
    </row>
    <row r="61" spans="1:25" s="2" customFormat="1" ht="15">
      <c r="A61" s="39"/>
      <c r="B61" s="231"/>
      <c r="C61" s="233" t="s">
        <v>136</v>
      </c>
      <c r="D61" s="233"/>
      <c r="E61" s="233"/>
      <c r="F61" s="233"/>
      <c r="G61" s="233" t="s">
        <v>134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1"/>
      <c r="W61" s="41"/>
      <c r="X61" s="41"/>
      <c r="Y61" s="41"/>
    </row>
    <row r="62" spans="1:25" s="2" customFormat="1" ht="15">
      <c r="A62" s="39"/>
      <c r="B62" s="231"/>
      <c r="C62" s="193"/>
      <c r="D62" s="193"/>
      <c r="E62" s="193"/>
      <c r="F62" s="193"/>
      <c r="G62" s="19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1"/>
      <c r="W62" s="41"/>
      <c r="X62" s="41"/>
      <c r="Y62" s="41"/>
    </row>
    <row r="63" spans="1:25">
      <c r="A63" s="4" t="s">
        <v>104</v>
      </c>
    </row>
    <row r="64" spans="1:25">
      <c r="A64" s="4" t="s">
        <v>105</v>
      </c>
    </row>
    <row r="65" spans="2:4" ht="15">
      <c r="B65" s="82"/>
      <c r="C65" s="82"/>
      <c r="D65" s="82"/>
    </row>
  </sheetData>
  <mergeCells count="1">
    <mergeCell ref="B1:H1"/>
  </mergeCells>
  <phoneticPr fontId="3" type="noConversion"/>
  <pageMargins left="0.3" right="0.25" top="0.6" bottom="0.25" header="0.3" footer="0.3"/>
  <pageSetup scale="71" orientation="landscape" r:id="rId1"/>
  <headerFooter>
    <oddHeader>&amp;C&amp;"Times New Roman,Bold"Ophthalmology Resident Call/Rounds Presentation/Vacation Schedule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87"/>
  <sheetViews>
    <sheetView zoomScale="86" zoomScaleNormal="86" zoomScalePageLayoutView="150" workbookViewId="0"/>
  </sheetViews>
  <sheetFormatPr defaultColWidth="8.7109375" defaultRowHeight="12"/>
  <cols>
    <col min="1" max="8" width="18.7109375" style="2" customWidth="1"/>
    <col min="9" max="9" width="9.28515625" style="2" bestFit="1" customWidth="1"/>
    <col min="10" max="10" width="8.7109375" style="2"/>
    <col min="11" max="11" width="14.5703125" style="2" bestFit="1" customWidth="1"/>
    <col min="12" max="12" width="9.28515625" style="2" bestFit="1" customWidth="1"/>
    <col min="13" max="13" width="9.5703125" style="2" customWidth="1"/>
    <col min="14" max="14" width="11.85546875" style="2" bestFit="1" customWidth="1"/>
    <col min="15" max="15" width="12.5703125" style="2" bestFit="1" customWidth="1"/>
    <col min="16" max="16384" width="8.7109375" style="2"/>
  </cols>
  <sheetData>
    <row r="1" spans="1:12" ht="16.5" thickBot="1">
      <c r="A1" s="4"/>
      <c r="B1" s="407" t="s">
        <v>86</v>
      </c>
      <c r="C1" s="408"/>
      <c r="D1" s="408"/>
      <c r="E1" s="408"/>
      <c r="F1" s="408"/>
      <c r="G1" s="408"/>
      <c r="H1" s="408"/>
    </row>
    <row r="2" spans="1:12" ht="15.75" thickBot="1">
      <c r="A2" s="98"/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  <c r="J2"/>
      <c r="K2" s="4" t="s">
        <v>67</v>
      </c>
      <c r="L2" s="4" t="s">
        <v>68</v>
      </c>
    </row>
    <row r="3" spans="1:12">
      <c r="A3" s="100"/>
      <c r="B3" s="126"/>
      <c r="C3" s="168"/>
      <c r="D3" s="121"/>
      <c r="E3" s="313"/>
      <c r="F3" s="102" t="s">
        <v>108</v>
      </c>
      <c r="G3" s="102">
        <v>2</v>
      </c>
      <c r="H3" s="103">
        <v>3</v>
      </c>
      <c r="J3" s="181" t="s">
        <v>45</v>
      </c>
      <c r="K3" s="222" t="s">
        <v>170</v>
      </c>
      <c r="L3" s="222" t="s">
        <v>70</v>
      </c>
    </row>
    <row r="4" spans="1:12" ht="13.5" customHeight="1">
      <c r="A4" s="104" t="s">
        <v>7</v>
      </c>
      <c r="B4" s="127"/>
      <c r="C4" s="4"/>
      <c r="D4" s="4"/>
      <c r="E4" s="112"/>
      <c r="F4" s="106" t="s">
        <v>35</v>
      </c>
      <c r="G4" s="106" t="s">
        <v>135</v>
      </c>
      <c r="H4" s="106" t="s">
        <v>134</v>
      </c>
      <c r="J4" s="181" t="s">
        <v>47</v>
      </c>
      <c r="K4" s="4" t="s">
        <v>65</v>
      </c>
      <c r="L4" s="4" t="s">
        <v>302</v>
      </c>
    </row>
    <row r="5" spans="1:12">
      <c r="A5" s="107" t="s">
        <v>21</v>
      </c>
      <c r="B5" s="127"/>
      <c r="C5" s="4"/>
      <c r="D5" s="4"/>
      <c r="E5" s="112"/>
      <c r="F5" s="108"/>
      <c r="G5" s="108"/>
      <c r="H5" s="108"/>
      <c r="J5" s="181" t="s">
        <v>46</v>
      </c>
      <c r="K5" s="4" t="s">
        <v>66</v>
      </c>
      <c r="L5" s="4" t="s">
        <v>69</v>
      </c>
    </row>
    <row r="6" spans="1:12">
      <c r="A6" s="107" t="s">
        <v>9</v>
      </c>
      <c r="B6" s="127"/>
      <c r="C6" s="4"/>
      <c r="D6" s="4"/>
      <c r="E6" s="112"/>
      <c r="F6" s="4" t="s">
        <v>24</v>
      </c>
      <c r="G6" s="109" t="s">
        <v>25</v>
      </c>
      <c r="H6" s="109" t="s">
        <v>146</v>
      </c>
      <c r="J6" s="181" t="s">
        <v>35</v>
      </c>
      <c r="K6" s="2" t="s">
        <v>303</v>
      </c>
    </row>
    <row r="7" spans="1:12">
      <c r="A7" s="107" t="s">
        <v>10</v>
      </c>
      <c r="B7" s="127"/>
      <c r="C7" s="4"/>
      <c r="D7" s="4"/>
      <c r="E7" s="112"/>
      <c r="F7" s="97"/>
      <c r="G7" s="108"/>
      <c r="H7" s="108"/>
      <c r="J7" s="181" t="s">
        <v>36</v>
      </c>
      <c r="K7" s="2" t="s">
        <v>154</v>
      </c>
    </row>
    <row r="8" spans="1:12">
      <c r="A8" s="100" t="s">
        <v>11</v>
      </c>
      <c r="B8" s="127"/>
      <c r="C8" s="4"/>
      <c r="D8" s="4"/>
      <c r="E8" s="112"/>
      <c r="F8" s="105"/>
      <c r="G8" s="336" t="s">
        <v>26</v>
      </c>
      <c r="H8" s="111"/>
      <c r="J8" s="181" t="s">
        <v>34</v>
      </c>
      <c r="K8" s="2" t="s">
        <v>304</v>
      </c>
    </row>
    <row r="9" spans="1:12" ht="12.75" thickBot="1">
      <c r="A9" s="100"/>
      <c r="B9" s="127"/>
      <c r="C9" s="4"/>
      <c r="D9" s="4"/>
      <c r="E9" s="112"/>
      <c r="F9" s="112"/>
      <c r="G9" s="112"/>
      <c r="H9" s="356"/>
      <c r="J9" s="181" t="s">
        <v>72</v>
      </c>
      <c r="K9" s="2" t="s">
        <v>156</v>
      </c>
      <c r="L9" s="2" t="s">
        <v>171</v>
      </c>
    </row>
    <row r="10" spans="1:12" ht="12.75" thickBot="1">
      <c r="A10" s="294"/>
      <c r="B10" s="326"/>
      <c r="C10" s="321"/>
      <c r="D10" s="321"/>
      <c r="E10" s="320"/>
      <c r="F10" s="320"/>
      <c r="G10" s="320"/>
      <c r="H10" s="356"/>
      <c r="J10" s="181" t="s">
        <v>137</v>
      </c>
      <c r="K10" s="2" t="s">
        <v>305</v>
      </c>
    </row>
    <row r="11" spans="1:12">
      <c r="A11" s="100"/>
      <c r="B11" s="103">
        <v>4</v>
      </c>
      <c r="C11" s="103">
        <v>5</v>
      </c>
      <c r="D11" s="103">
        <v>6</v>
      </c>
      <c r="E11" s="103">
        <v>7</v>
      </c>
      <c r="F11" s="103">
        <v>8</v>
      </c>
      <c r="G11" s="103">
        <v>9</v>
      </c>
      <c r="H11" s="103">
        <v>10</v>
      </c>
      <c r="J11" s="181" t="s">
        <v>306</v>
      </c>
      <c r="K11" s="2" t="s">
        <v>163</v>
      </c>
      <c r="L11" s="2" t="s">
        <v>167</v>
      </c>
    </row>
    <row r="12" spans="1:12">
      <c r="A12" s="104" t="s">
        <v>7</v>
      </c>
      <c r="B12" s="106" t="s">
        <v>134</v>
      </c>
      <c r="C12" s="4" t="s">
        <v>72</v>
      </c>
      <c r="D12" s="106" t="s">
        <v>36</v>
      </c>
      <c r="E12" s="106" t="s">
        <v>135</v>
      </c>
      <c r="F12" s="106" t="s">
        <v>35</v>
      </c>
      <c r="G12" s="106" t="s">
        <v>72</v>
      </c>
      <c r="H12" s="106" t="s">
        <v>34</v>
      </c>
      <c r="J12" s="181" t="s">
        <v>307</v>
      </c>
      <c r="K12" s="2" t="s">
        <v>308</v>
      </c>
    </row>
    <row r="13" spans="1:12">
      <c r="A13" s="107" t="s">
        <v>21</v>
      </c>
      <c r="B13" s="106" t="s">
        <v>135</v>
      </c>
      <c r="C13" s="108"/>
      <c r="D13" s="108"/>
      <c r="E13" s="108"/>
      <c r="F13" s="108"/>
      <c r="G13" s="108"/>
      <c r="H13" s="108"/>
      <c r="J13" s="181" t="s">
        <v>136</v>
      </c>
      <c r="K13" s="2" t="s">
        <v>173</v>
      </c>
    </row>
    <row r="14" spans="1:12" ht="12.75" customHeight="1">
      <c r="A14" s="107" t="s">
        <v>9</v>
      </c>
      <c r="B14" s="109" t="s">
        <v>146</v>
      </c>
      <c r="C14" s="109" t="s">
        <v>26</v>
      </c>
      <c r="D14" s="109" t="s">
        <v>26</v>
      </c>
      <c r="E14" s="109" t="s">
        <v>25</v>
      </c>
      <c r="F14" s="4" t="s">
        <v>24</v>
      </c>
      <c r="G14" s="109" t="s">
        <v>26</v>
      </c>
      <c r="H14" s="109" t="s">
        <v>25</v>
      </c>
    </row>
    <row r="15" spans="1:12">
      <c r="A15" s="107" t="s">
        <v>10</v>
      </c>
      <c r="B15" s="108"/>
      <c r="C15" s="108"/>
      <c r="D15" s="108"/>
      <c r="E15" s="109" t="s">
        <v>62</v>
      </c>
      <c r="F15" s="108"/>
      <c r="G15" s="108"/>
      <c r="H15" s="108"/>
    </row>
    <row r="16" spans="1:12">
      <c r="A16" s="100" t="s">
        <v>11</v>
      </c>
      <c r="B16" s="111"/>
      <c r="C16" s="336" t="s">
        <v>137</v>
      </c>
      <c r="D16" s="105" t="s">
        <v>137</v>
      </c>
      <c r="E16" s="336" t="s">
        <v>222</v>
      </c>
      <c r="F16" s="105" t="s">
        <v>249</v>
      </c>
      <c r="G16" s="2" t="s">
        <v>232</v>
      </c>
      <c r="H16" s="111"/>
    </row>
    <row r="17" spans="1:13" ht="12.75" thickBot="1">
      <c r="A17" s="100"/>
      <c r="B17" s="118"/>
      <c r="C17" s="105"/>
      <c r="D17" s="105"/>
      <c r="E17" s="105" t="s">
        <v>137</v>
      </c>
      <c r="F17" s="2" t="s">
        <v>137</v>
      </c>
      <c r="G17" s="105" t="s">
        <v>137</v>
      </c>
      <c r="H17" s="297"/>
    </row>
    <row r="18" spans="1:13" ht="12.75" thickBot="1">
      <c r="A18" s="294"/>
      <c r="B18" s="356"/>
      <c r="C18" s="295"/>
      <c r="D18" s="295"/>
      <c r="E18" s="295"/>
      <c r="F18" s="295"/>
      <c r="G18" s="320"/>
      <c r="H18" s="297"/>
    </row>
    <row r="19" spans="1:13">
      <c r="A19" s="100"/>
      <c r="B19" s="103">
        <v>11</v>
      </c>
      <c r="C19" s="102">
        <v>12</v>
      </c>
      <c r="D19" s="103">
        <v>13</v>
      </c>
      <c r="E19" s="103">
        <v>14</v>
      </c>
      <c r="F19" s="103">
        <v>15</v>
      </c>
      <c r="G19" s="103">
        <v>16</v>
      </c>
      <c r="H19" s="103">
        <v>17</v>
      </c>
      <c r="J19" s="2" t="s">
        <v>294</v>
      </c>
    </row>
    <row r="20" spans="1:13">
      <c r="A20" s="104" t="s">
        <v>7</v>
      </c>
      <c r="B20" s="106" t="s">
        <v>34</v>
      </c>
      <c r="C20" s="106" t="s">
        <v>137</v>
      </c>
      <c r="D20" s="106" t="s">
        <v>134</v>
      </c>
      <c r="E20" s="106" t="s">
        <v>36</v>
      </c>
      <c r="F20" s="106" t="s">
        <v>135</v>
      </c>
      <c r="G20" s="106" t="s">
        <v>35</v>
      </c>
      <c r="H20" s="106" t="s">
        <v>36</v>
      </c>
      <c r="J20" s="2" t="s">
        <v>309</v>
      </c>
    </row>
    <row r="21" spans="1:13" ht="13.5" customHeight="1">
      <c r="A21" s="107" t="s">
        <v>21</v>
      </c>
      <c r="B21" s="106" t="s">
        <v>36</v>
      </c>
      <c r="C21" s="108"/>
      <c r="D21" s="108"/>
      <c r="E21" s="108"/>
      <c r="F21" s="108"/>
      <c r="G21" s="108"/>
      <c r="H21" s="108"/>
    </row>
    <row r="22" spans="1:13">
      <c r="A22" s="107" t="s">
        <v>9</v>
      </c>
      <c r="B22" s="109" t="s">
        <v>25</v>
      </c>
      <c r="C22" s="109" t="s">
        <v>146</v>
      </c>
      <c r="D22" s="109" t="s">
        <v>25</v>
      </c>
      <c r="E22" s="109" t="s">
        <v>26</v>
      </c>
      <c r="F22" s="109" t="s">
        <v>146</v>
      </c>
      <c r="G22" s="109" t="s">
        <v>24</v>
      </c>
      <c r="H22" s="109" t="s">
        <v>24</v>
      </c>
    </row>
    <row r="23" spans="1:13">
      <c r="A23" s="107" t="s">
        <v>10</v>
      </c>
      <c r="B23" s="108"/>
      <c r="C23" s="108"/>
      <c r="D23" s="108"/>
      <c r="E23" s="109" t="s">
        <v>72</v>
      </c>
      <c r="F23" s="108"/>
      <c r="G23" s="108"/>
      <c r="H23" s="108"/>
    </row>
    <row r="24" spans="1:13">
      <c r="A24" s="100" t="s">
        <v>11</v>
      </c>
      <c r="B24" s="111"/>
      <c r="C24" s="105"/>
      <c r="D24" s="105"/>
      <c r="E24" s="105"/>
      <c r="F24" s="112"/>
      <c r="G24" s="112"/>
      <c r="H24" s="111"/>
    </row>
    <row r="25" spans="1:13">
      <c r="A25" s="100"/>
      <c r="B25" s="111"/>
      <c r="C25" s="105"/>
      <c r="D25" s="105"/>
      <c r="E25" s="105"/>
      <c r="F25" s="105"/>
      <c r="G25" s="105"/>
      <c r="H25" s="111"/>
    </row>
    <row r="26" spans="1:13" ht="12.75" customHeight="1" thickBot="1">
      <c r="A26" s="294"/>
      <c r="B26" s="297"/>
      <c r="C26" s="295"/>
      <c r="D26" s="295"/>
      <c r="E26" s="295"/>
      <c r="F26" s="320"/>
      <c r="G26" s="320"/>
      <c r="H26" s="297"/>
    </row>
    <row r="27" spans="1:13">
      <c r="A27" s="100"/>
      <c r="B27" s="103">
        <v>18</v>
      </c>
      <c r="C27" s="102" t="s">
        <v>109</v>
      </c>
      <c r="D27" s="103">
        <v>20</v>
      </c>
      <c r="E27" s="103">
        <v>21</v>
      </c>
      <c r="F27" s="103">
        <v>22</v>
      </c>
      <c r="G27" s="103">
        <v>23</v>
      </c>
      <c r="H27" s="103">
        <v>24</v>
      </c>
    </row>
    <row r="28" spans="1:13">
      <c r="A28" s="104" t="s">
        <v>7</v>
      </c>
      <c r="B28" s="106" t="s">
        <v>36</v>
      </c>
      <c r="C28" s="106" t="s">
        <v>35</v>
      </c>
      <c r="D28" s="106" t="s">
        <v>134</v>
      </c>
      <c r="E28" s="106" t="s">
        <v>135</v>
      </c>
      <c r="F28" s="106" t="s">
        <v>137</v>
      </c>
      <c r="G28" s="106" t="s">
        <v>35</v>
      </c>
      <c r="H28" s="106" t="s">
        <v>72</v>
      </c>
      <c r="K28" s="39"/>
      <c r="L28" s="39"/>
      <c r="M28" s="39"/>
    </row>
    <row r="29" spans="1:13" ht="12.75" thickBot="1">
      <c r="A29" s="107" t="s">
        <v>21</v>
      </c>
      <c r="B29" s="106" t="s">
        <v>137</v>
      </c>
      <c r="C29" s="120"/>
      <c r="D29" s="108"/>
      <c r="E29" s="108"/>
      <c r="F29" s="108"/>
      <c r="G29" s="108"/>
      <c r="H29" s="108"/>
    </row>
    <row r="30" spans="1:13">
      <c r="A30" s="107" t="s">
        <v>9</v>
      </c>
      <c r="B30" s="109" t="s">
        <v>24</v>
      </c>
      <c r="C30" s="109" t="s">
        <v>146</v>
      </c>
      <c r="D30" s="109" t="s">
        <v>24</v>
      </c>
      <c r="E30" s="109" t="s">
        <v>25</v>
      </c>
      <c r="F30" s="4" t="s">
        <v>146</v>
      </c>
      <c r="G30" s="106" t="s">
        <v>26</v>
      </c>
      <c r="H30" s="106" t="s">
        <v>26</v>
      </c>
    </row>
    <row r="31" spans="1:13">
      <c r="A31" s="107" t="s">
        <v>10</v>
      </c>
      <c r="B31" s="108"/>
      <c r="C31" s="108"/>
      <c r="D31" s="108"/>
      <c r="E31" s="109" t="s">
        <v>35</v>
      </c>
      <c r="F31" s="108"/>
      <c r="G31" s="108"/>
      <c r="H31" s="108"/>
    </row>
    <row r="32" spans="1:13">
      <c r="A32" s="100" t="s">
        <v>11</v>
      </c>
      <c r="B32" s="118"/>
      <c r="C32" s="105" t="s">
        <v>34</v>
      </c>
      <c r="D32" s="105" t="s">
        <v>34</v>
      </c>
      <c r="E32" s="105" t="s">
        <v>34</v>
      </c>
      <c r="F32" s="336" t="s">
        <v>34</v>
      </c>
      <c r="G32" s="105" t="s">
        <v>34</v>
      </c>
      <c r="H32" s="118"/>
    </row>
    <row r="33" spans="1:9">
      <c r="A33" s="100"/>
      <c r="B33" s="111"/>
      <c r="C33" s="105" t="s">
        <v>350</v>
      </c>
      <c r="D33" s="105"/>
      <c r="E33" s="105"/>
      <c r="F33" s="105"/>
      <c r="G33" s="105"/>
      <c r="H33" s="111"/>
    </row>
    <row r="34" spans="1:9" ht="12.75" thickBot="1">
      <c r="A34" s="294"/>
      <c r="B34" s="297"/>
      <c r="C34" s="295"/>
      <c r="D34" s="295"/>
      <c r="E34" s="295"/>
      <c r="F34" s="295"/>
      <c r="G34" s="295"/>
      <c r="H34" s="297"/>
    </row>
    <row r="35" spans="1:9">
      <c r="A35" s="100"/>
      <c r="B35" s="103">
        <v>25</v>
      </c>
      <c r="C35" s="103">
        <v>26</v>
      </c>
      <c r="D35" s="103">
        <v>27</v>
      </c>
      <c r="E35" s="103">
        <v>28</v>
      </c>
      <c r="F35" s="103">
        <v>29</v>
      </c>
      <c r="G35" s="103">
        <v>30</v>
      </c>
      <c r="H35" s="103">
        <v>31</v>
      </c>
    </row>
    <row r="36" spans="1:9">
      <c r="A36" s="104" t="s">
        <v>7</v>
      </c>
      <c r="B36" s="106" t="s">
        <v>72</v>
      </c>
      <c r="C36" s="106" t="s">
        <v>137</v>
      </c>
      <c r="D36" s="106" t="s">
        <v>36</v>
      </c>
      <c r="E36" s="106" t="s">
        <v>134</v>
      </c>
      <c r="F36" s="106" t="s">
        <v>72</v>
      </c>
      <c r="G36" s="106" t="s">
        <v>34</v>
      </c>
      <c r="H36" s="106" t="s">
        <v>135</v>
      </c>
    </row>
    <row r="37" spans="1:9">
      <c r="A37" s="107" t="s">
        <v>21</v>
      </c>
      <c r="B37" s="106" t="s">
        <v>134</v>
      </c>
      <c r="C37" s="108"/>
      <c r="D37" s="108"/>
      <c r="E37" s="108"/>
      <c r="F37" s="108"/>
      <c r="G37" s="108"/>
      <c r="H37" s="108"/>
    </row>
    <row r="38" spans="1:9">
      <c r="A38" s="107" t="s">
        <v>9</v>
      </c>
      <c r="B38" s="109" t="s">
        <v>26</v>
      </c>
      <c r="C38" s="109" t="s">
        <v>24</v>
      </c>
      <c r="D38" s="4" t="s">
        <v>26</v>
      </c>
      <c r="E38" s="109" t="s">
        <v>25</v>
      </c>
      <c r="F38" s="4" t="s">
        <v>26</v>
      </c>
      <c r="G38" s="106" t="s">
        <v>146</v>
      </c>
      <c r="H38" s="106" t="s">
        <v>25</v>
      </c>
    </row>
    <row r="39" spans="1:9">
      <c r="A39" s="107" t="s">
        <v>10</v>
      </c>
      <c r="B39" s="108"/>
      <c r="C39" s="108"/>
      <c r="D39" s="108"/>
      <c r="E39" s="109" t="s">
        <v>137</v>
      </c>
      <c r="F39" s="108"/>
      <c r="G39" s="108"/>
      <c r="H39" s="108"/>
    </row>
    <row r="40" spans="1:9">
      <c r="A40" s="100" t="s">
        <v>11</v>
      </c>
      <c r="B40" s="111"/>
      <c r="C40" s="57" t="s">
        <v>353</v>
      </c>
      <c r="D40" s="57"/>
      <c r="E40" s="57"/>
      <c r="F40" s="105"/>
      <c r="G40" s="105"/>
      <c r="H40" s="118"/>
    </row>
    <row r="41" spans="1:9">
      <c r="A41" s="100"/>
      <c r="B41" s="111"/>
      <c r="C41" s="105" t="s">
        <v>354</v>
      </c>
      <c r="D41" s="105"/>
      <c r="E41" s="105"/>
      <c r="F41" s="105"/>
      <c r="G41" s="105"/>
      <c r="H41" s="111"/>
    </row>
    <row r="42" spans="1:9" ht="12.75" thickBot="1">
      <c r="A42" s="294"/>
      <c r="B42" s="297"/>
      <c r="C42" s="295"/>
      <c r="D42" s="295"/>
      <c r="E42" s="295"/>
      <c r="F42" s="295"/>
      <c r="G42" s="295"/>
      <c r="H42" s="297"/>
    </row>
    <row r="43" spans="1:9">
      <c r="A43" s="37" t="s">
        <v>17</v>
      </c>
      <c r="C43" s="124"/>
      <c r="H43" s="125" t="s">
        <v>355</v>
      </c>
    </row>
    <row r="44" spans="1:9">
      <c r="A44" s="2" t="s">
        <v>22</v>
      </c>
      <c r="C44" s="4"/>
      <c r="F44" s="10"/>
      <c r="G44" s="40" t="s">
        <v>13</v>
      </c>
      <c r="H44" s="79"/>
    </row>
    <row r="45" spans="1:9">
      <c r="A45" s="2" t="s">
        <v>110</v>
      </c>
    </row>
    <row r="46" spans="1:9" ht="12" customHeight="1">
      <c r="A46" s="39"/>
      <c r="I46" s="4"/>
    </row>
    <row r="47" spans="1:9" ht="12" customHeight="1">
      <c r="A47" s="178" t="s">
        <v>263</v>
      </c>
      <c r="B47" s="51"/>
      <c r="C47" s="51"/>
      <c r="D47" s="51"/>
      <c r="E47" s="51"/>
      <c r="F47" s="51"/>
      <c r="G47" s="51"/>
      <c r="H47" s="51"/>
      <c r="I47" s="3"/>
    </row>
    <row r="48" spans="1:9" ht="12" customHeight="1" thickBot="1">
      <c r="A48" s="51" t="s">
        <v>143</v>
      </c>
      <c r="B48" s="51"/>
      <c r="C48" s="51"/>
      <c r="D48" s="51"/>
      <c r="E48" s="51"/>
      <c r="F48" s="51"/>
      <c r="G48" s="51"/>
      <c r="H48" s="51"/>
      <c r="I48" s="3"/>
    </row>
    <row r="49" spans="1:19" ht="12" customHeight="1">
      <c r="A49" s="75" t="s">
        <v>14</v>
      </c>
      <c r="B49" s="81"/>
      <c r="C49" s="175" t="s">
        <v>1</v>
      </c>
      <c r="D49" s="175" t="s">
        <v>2</v>
      </c>
      <c r="E49" s="175" t="s">
        <v>3</v>
      </c>
      <c r="F49" s="175" t="s">
        <v>4</v>
      </c>
      <c r="G49" s="175" t="s">
        <v>5</v>
      </c>
      <c r="H49" s="51"/>
      <c r="I49" s="3"/>
    </row>
    <row r="50" spans="1:19" ht="12" customHeight="1">
      <c r="A50" s="75"/>
      <c r="B50" s="173" t="s">
        <v>32</v>
      </c>
      <c r="C50" s="59" t="s">
        <v>264</v>
      </c>
      <c r="D50" s="174"/>
      <c r="E50" s="174"/>
      <c r="F50" s="174"/>
      <c r="G50" s="174"/>
      <c r="H50" s="51"/>
      <c r="I50" s="3"/>
    </row>
    <row r="51" spans="1:19" ht="12" customHeight="1">
      <c r="A51" s="39"/>
      <c r="B51" s="173" t="s">
        <v>15</v>
      </c>
      <c r="C51" s="170" t="s">
        <v>137</v>
      </c>
      <c r="D51" s="170" t="s">
        <v>72</v>
      </c>
      <c r="E51" s="170" t="s">
        <v>35</v>
      </c>
      <c r="F51" s="170" t="s">
        <v>34</v>
      </c>
      <c r="G51" s="170" t="s">
        <v>36</v>
      </c>
      <c r="I51" s="4"/>
    </row>
    <row r="52" spans="1:19" ht="15">
      <c r="A52" s="39"/>
      <c r="B52" s="231"/>
      <c r="C52" s="233"/>
      <c r="D52" s="233" t="s">
        <v>135</v>
      </c>
      <c r="E52" s="233"/>
      <c r="F52" s="233"/>
      <c r="G52" s="233" t="s">
        <v>134</v>
      </c>
      <c r="I52" s="4"/>
    </row>
    <row r="54" spans="1:19">
      <c r="A54" s="4" t="s">
        <v>105</v>
      </c>
      <c r="F54" s="41"/>
      <c r="G54" s="41"/>
    </row>
    <row r="55" spans="1:19">
      <c r="A55" s="41"/>
      <c r="B55" s="41"/>
      <c r="G55" s="41"/>
    </row>
    <row r="56" spans="1:19">
      <c r="A56" s="41"/>
      <c r="B56" s="41"/>
      <c r="G56" s="41"/>
    </row>
    <row r="57" spans="1:19" ht="15">
      <c r="A57"/>
      <c r="B57" s="370" t="s">
        <v>53</v>
      </c>
      <c r="C57" s="370" t="s">
        <v>310</v>
      </c>
      <c r="D57" s="370" t="s">
        <v>52</v>
      </c>
      <c r="E57" s="370" t="s">
        <v>58</v>
      </c>
      <c r="F57" s="370" t="s">
        <v>310</v>
      </c>
      <c r="G57" s="370" t="s">
        <v>52</v>
      </c>
      <c r="H57" s="370" t="s">
        <v>74</v>
      </c>
      <c r="I57" s="370" t="s">
        <v>310</v>
      </c>
      <c r="J57" s="370" t="s">
        <v>52</v>
      </c>
      <c r="K57" s="370" t="s">
        <v>54</v>
      </c>
      <c r="L57" s="370" t="s">
        <v>310</v>
      </c>
      <c r="M57" s="370" t="s">
        <v>52</v>
      </c>
      <c r="N57"/>
      <c r="O57"/>
      <c r="P57"/>
      <c r="Q57"/>
      <c r="R57"/>
      <c r="S57"/>
    </row>
    <row r="58" spans="1:19" ht="15" customHeight="1">
      <c r="A58" s="371" t="s">
        <v>73</v>
      </c>
      <c r="B58" s="181">
        <v>0</v>
      </c>
      <c r="C58" s="181">
        <v>2</v>
      </c>
      <c r="D58" s="181">
        <f>SUM(B58:C58)</f>
        <v>2</v>
      </c>
      <c r="E58" s="4">
        <v>0</v>
      </c>
      <c r="F58" s="4">
        <v>1</v>
      </c>
      <c r="G58" s="4">
        <f>SUM(E58:F58)</f>
        <v>1</v>
      </c>
      <c r="H58" s="4">
        <v>0</v>
      </c>
      <c r="I58" s="4">
        <v>1</v>
      </c>
      <c r="J58" s="4">
        <f>SUM(H58:I58)</f>
        <v>1</v>
      </c>
      <c r="K58" s="181">
        <v>0</v>
      </c>
      <c r="L58" s="181">
        <v>1</v>
      </c>
      <c r="M58" s="181">
        <f>SUM(K58:L58)</f>
        <v>1</v>
      </c>
      <c r="N58"/>
      <c r="O58"/>
      <c r="P58" s="4"/>
      <c r="Q58" s="4"/>
      <c r="R58"/>
      <c r="S58" s="4"/>
    </row>
    <row r="59" spans="1:19" ht="15">
      <c r="A59" s="371" t="s">
        <v>48</v>
      </c>
      <c r="B59" s="181">
        <v>0</v>
      </c>
      <c r="C59" s="181">
        <v>0</v>
      </c>
      <c r="D59" s="181">
        <f t="shared" ref="D59:D65" si="0">SUM(B59:C59)</f>
        <v>0</v>
      </c>
      <c r="E59" s="4">
        <v>0</v>
      </c>
      <c r="F59" s="4">
        <v>0</v>
      </c>
      <c r="G59" s="4">
        <f t="shared" ref="G59:G65" si="1">SUM(E59:F59)</f>
        <v>0</v>
      </c>
      <c r="H59" s="4">
        <v>0</v>
      </c>
      <c r="I59" s="4">
        <v>1</v>
      </c>
      <c r="J59" s="4">
        <f t="shared" ref="J59:J65" si="2">SUM(H59:I59)</f>
        <v>1</v>
      </c>
      <c r="K59" s="181">
        <v>0</v>
      </c>
      <c r="L59" s="181">
        <v>1</v>
      </c>
      <c r="M59" s="181">
        <f t="shared" ref="M59:M65" si="3">SUM(K59:L59)</f>
        <v>1</v>
      </c>
      <c r="N59"/>
      <c r="O59"/>
      <c r="P59" s="4"/>
      <c r="Q59" s="4"/>
      <c r="R59"/>
      <c r="S59" s="4"/>
    </row>
    <row r="60" spans="1:19" ht="15">
      <c r="A60" s="371" t="s">
        <v>49</v>
      </c>
      <c r="B60" s="181">
        <v>0</v>
      </c>
      <c r="C60" s="181">
        <v>2</v>
      </c>
      <c r="D60" s="181">
        <f t="shared" si="0"/>
        <v>2</v>
      </c>
      <c r="E60" s="4">
        <v>0</v>
      </c>
      <c r="F60" s="4">
        <v>0</v>
      </c>
      <c r="G60" s="4">
        <f t="shared" si="1"/>
        <v>0</v>
      </c>
      <c r="H60" s="4">
        <v>0</v>
      </c>
      <c r="I60" s="4">
        <v>2</v>
      </c>
      <c r="J60" s="4">
        <f t="shared" si="2"/>
        <v>2</v>
      </c>
      <c r="K60" s="181">
        <v>0</v>
      </c>
      <c r="L60" s="181">
        <v>0</v>
      </c>
      <c r="M60" s="181">
        <f t="shared" si="3"/>
        <v>0</v>
      </c>
      <c r="N60"/>
      <c r="O60"/>
      <c r="P60" s="4"/>
      <c r="Q60" s="4"/>
      <c r="R60"/>
      <c r="S60" s="4"/>
    </row>
    <row r="61" spans="1:19" ht="12" customHeight="1">
      <c r="A61" s="371" t="s">
        <v>50</v>
      </c>
      <c r="B61" s="181">
        <v>0</v>
      </c>
      <c r="C61" s="181">
        <v>3</v>
      </c>
      <c r="D61" s="181">
        <f t="shared" si="0"/>
        <v>3</v>
      </c>
      <c r="E61" s="4">
        <v>0</v>
      </c>
      <c r="F61" s="4">
        <v>0</v>
      </c>
      <c r="G61" s="4">
        <f t="shared" si="1"/>
        <v>0</v>
      </c>
      <c r="H61" s="4">
        <v>0</v>
      </c>
      <c r="I61" s="4">
        <v>0</v>
      </c>
      <c r="J61" s="4">
        <f t="shared" si="2"/>
        <v>0</v>
      </c>
      <c r="K61" s="181">
        <v>0</v>
      </c>
      <c r="L61" s="181">
        <v>1</v>
      </c>
      <c r="M61" s="181">
        <f t="shared" si="3"/>
        <v>1</v>
      </c>
      <c r="N61"/>
      <c r="O61"/>
      <c r="P61" s="4"/>
      <c r="Q61" s="4"/>
      <c r="R61"/>
      <c r="S61" s="4"/>
    </row>
    <row r="62" spans="1:19" ht="15">
      <c r="A62" s="371" t="s">
        <v>311</v>
      </c>
      <c r="B62" s="181">
        <v>0</v>
      </c>
      <c r="C62" s="4">
        <v>3</v>
      </c>
      <c r="D62" s="181">
        <f t="shared" si="0"/>
        <v>3</v>
      </c>
      <c r="E62" s="4">
        <v>0</v>
      </c>
      <c r="F62" s="4">
        <v>1</v>
      </c>
      <c r="G62" s="4">
        <f t="shared" si="1"/>
        <v>1</v>
      </c>
      <c r="H62" s="4">
        <v>0</v>
      </c>
      <c r="I62" s="4">
        <v>0</v>
      </c>
      <c r="J62" s="4">
        <f t="shared" si="2"/>
        <v>0</v>
      </c>
      <c r="K62" s="181">
        <v>0</v>
      </c>
      <c r="L62" s="181">
        <v>0</v>
      </c>
      <c r="M62" s="181">
        <f t="shared" si="3"/>
        <v>0</v>
      </c>
      <c r="N62"/>
      <c r="O62"/>
      <c r="P62" s="4"/>
      <c r="Q62" s="4"/>
      <c r="R62" s="4"/>
      <c r="S62" s="4"/>
    </row>
    <row r="63" spans="1:19" ht="15">
      <c r="A63" s="371" t="s">
        <v>312</v>
      </c>
      <c r="B63" s="181">
        <v>0</v>
      </c>
      <c r="C63" s="4">
        <v>2</v>
      </c>
      <c r="D63" s="181">
        <f t="shared" si="0"/>
        <v>2</v>
      </c>
      <c r="E63" s="4">
        <v>0</v>
      </c>
      <c r="F63" s="4">
        <v>1</v>
      </c>
      <c r="G63" s="4">
        <f t="shared" si="1"/>
        <v>1</v>
      </c>
      <c r="H63" s="4">
        <v>0</v>
      </c>
      <c r="I63" s="4">
        <v>0</v>
      </c>
      <c r="J63" s="4">
        <f t="shared" si="2"/>
        <v>0</v>
      </c>
      <c r="K63" s="181">
        <v>0</v>
      </c>
      <c r="L63" s="181">
        <v>1</v>
      </c>
      <c r="M63" s="181">
        <f t="shared" si="3"/>
        <v>1</v>
      </c>
      <c r="N63"/>
      <c r="O63"/>
      <c r="P63" s="4"/>
      <c r="Q63" s="4"/>
      <c r="R63"/>
      <c r="S63" s="4"/>
    </row>
    <row r="64" spans="1:19" ht="15">
      <c r="A64" s="371" t="s">
        <v>313</v>
      </c>
      <c r="B64" s="181">
        <v>0</v>
      </c>
      <c r="C64" s="4">
        <v>3</v>
      </c>
      <c r="D64" s="181">
        <f t="shared" si="0"/>
        <v>3</v>
      </c>
      <c r="E64" s="4">
        <v>0</v>
      </c>
      <c r="F64" s="4">
        <v>1</v>
      </c>
      <c r="G64" s="4">
        <f t="shared" si="1"/>
        <v>1</v>
      </c>
      <c r="H64" s="4">
        <v>0</v>
      </c>
      <c r="I64" s="4">
        <v>1</v>
      </c>
      <c r="J64" s="4">
        <f t="shared" si="2"/>
        <v>1</v>
      </c>
      <c r="K64" s="181">
        <v>0</v>
      </c>
      <c r="L64" s="181">
        <v>1</v>
      </c>
      <c r="M64" s="181">
        <f t="shared" si="3"/>
        <v>1</v>
      </c>
      <c r="N64"/>
      <c r="O64"/>
      <c r="P64" s="4"/>
      <c r="Q64" s="4"/>
      <c r="R64" s="4"/>
      <c r="S64" s="4"/>
    </row>
    <row r="65" spans="1:19" ht="15.75" thickBot="1">
      <c r="A65" s="371" t="s">
        <v>314</v>
      </c>
      <c r="B65" s="181">
        <v>0</v>
      </c>
      <c r="C65" s="4">
        <v>0</v>
      </c>
      <c r="D65" s="181">
        <f t="shared" si="0"/>
        <v>0</v>
      </c>
      <c r="E65" s="4">
        <v>0</v>
      </c>
      <c r="F65" s="4">
        <v>0</v>
      </c>
      <c r="G65" s="4">
        <f t="shared" si="1"/>
        <v>0</v>
      </c>
      <c r="H65" s="4">
        <v>0</v>
      </c>
      <c r="I65" s="4">
        <v>0</v>
      </c>
      <c r="J65" s="4">
        <f t="shared" si="2"/>
        <v>0</v>
      </c>
      <c r="K65" s="181">
        <v>0</v>
      </c>
      <c r="L65" s="181">
        <v>0</v>
      </c>
      <c r="M65" s="181">
        <f t="shared" si="3"/>
        <v>0</v>
      </c>
      <c r="N65"/>
      <c r="O65"/>
      <c r="P65" s="4"/>
      <c r="Q65" s="4"/>
      <c r="R65" s="4"/>
      <c r="S65" s="4"/>
    </row>
    <row r="66" spans="1:19" ht="15.75" thickBot="1">
      <c r="A66" s="185"/>
      <c r="B66" s="370">
        <f t="shared" ref="B66:M66" si="4">SUM(B58:B65)</f>
        <v>0</v>
      </c>
      <c r="C66" s="372">
        <f t="shared" si="4"/>
        <v>15</v>
      </c>
      <c r="D66" s="370">
        <f t="shared" si="4"/>
        <v>15</v>
      </c>
      <c r="E66" s="370">
        <f t="shared" si="4"/>
        <v>0</v>
      </c>
      <c r="F66" s="372">
        <f t="shared" si="4"/>
        <v>4</v>
      </c>
      <c r="G66" s="370">
        <f t="shared" si="4"/>
        <v>4</v>
      </c>
      <c r="H66" s="370">
        <f t="shared" si="4"/>
        <v>0</v>
      </c>
      <c r="I66" s="372">
        <f t="shared" si="4"/>
        <v>5</v>
      </c>
      <c r="J66" s="370">
        <f t="shared" si="4"/>
        <v>5</v>
      </c>
      <c r="K66" s="370">
        <f t="shared" si="4"/>
        <v>0</v>
      </c>
      <c r="L66" s="372">
        <f t="shared" si="4"/>
        <v>5</v>
      </c>
      <c r="M66" s="370">
        <f t="shared" si="4"/>
        <v>5</v>
      </c>
      <c r="N66"/>
      <c r="O66" s="4" t="s">
        <v>315</v>
      </c>
      <c r="P66" s="373">
        <f>SUM(C66,F66,I66,L66)</f>
        <v>29</v>
      </c>
      <c r="Q66"/>
      <c r="R66"/>
      <c r="S66"/>
    </row>
    <row r="67" spans="1:19" ht="15">
      <c r="A67" s="185"/>
      <c r="B67" s="181"/>
      <c r="C67" s="181"/>
      <c r="D67" s="181"/>
      <c r="E67"/>
      <c r="F67"/>
      <c r="G67"/>
      <c r="H67" s="181"/>
      <c r="I67" s="181"/>
      <c r="J67" s="181"/>
      <c r="K67"/>
      <c r="L67"/>
      <c r="M67"/>
      <c r="N67"/>
      <c r="O67"/>
      <c r="P67"/>
      <c r="Q67"/>
      <c r="R67"/>
      <c r="S67"/>
    </row>
    <row r="68" spans="1:19" ht="15">
      <c r="A68" s="185"/>
      <c r="B68" s="374" t="s">
        <v>53</v>
      </c>
      <c r="C68" s="375" t="s">
        <v>310</v>
      </c>
      <c r="D68" s="374" t="s">
        <v>52</v>
      </c>
      <c r="E68"/>
      <c r="F68"/>
      <c r="G68"/>
      <c r="H68" s="374" t="s">
        <v>54</v>
      </c>
      <c r="I68" s="375" t="s">
        <v>310</v>
      </c>
      <c r="J68" s="374" t="s">
        <v>52</v>
      </c>
      <c r="K68"/>
      <c r="L68"/>
      <c r="M68"/>
      <c r="N68"/>
      <c r="O68"/>
      <c r="P68"/>
      <c r="Q68"/>
      <c r="R68"/>
      <c r="S68"/>
    </row>
    <row r="69" spans="1:19" ht="15">
      <c r="A69" s="185" t="s">
        <v>44</v>
      </c>
      <c r="B69" s="181">
        <v>0</v>
      </c>
      <c r="C69" s="181">
        <v>5</v>
      </c>
      <c r="D69" s="181">
        <f>SUM(B69:C69)</f>
        <v>5</v>
      </c>
      <c r="E69"/>
      <c r="F69"/>
      <c r="G69"/>
      <c r="H69" s="181"/>
      <c r="I69" s="181">
        <v>1</v>
      </c>
      <c r="J69" s="181">
        <f>SUM(H69:I69)</f>
        <v>1</v>
      </c>
      <c r="K69"/>
      <c r="L69"/>
      <c r="M69"/>
      <c r="N69"/>
      <c r="O69"/>
      <c r="P69"/>
      <c r="Q69"/>
      <c r="R69"/>
      <c r="S69"/>
    </row>
    <row r="70" spans="1:19" ht="12" customHeight="1">
      <c r="A70" s="185" t="s">
        <v>45</v>
      </c>
      <c r="B70" s="181">
        <v>0</v>
      </c>
      <c r="C70" s="181">
        <v>5</v>
      </c>
      <c r="D70" s="181">
        <f>SUM(B70:C70)</f>
        <v>5</v>
      </c>
      <c r="E70"/>
      <c r="F70"/>
      <c r="G70"/>
      <c r="H70" s="181"/>
      <c r="I70" s="181">
        <v>2</v>
      </c>
      <c r="J70" s="181">
        <f t="shared" ref="J70:J72" si="5">SUM(H70:I70)</f>
        <v>2</v>
      </c>
      <c r="K70"/>
      <c r="L70"/>
      <c r="M70"/>
      <c r="N70"/>
      <c r="O70"/>
      <c r="P70"/>
      <c r="Q70"/>
      <c r="R70"/>
      <c r="S70"/>
    </row>
    <row r="71" spans="1:19" ht="15">
      <c r="A71" s="185" t="s">
        <v>46</v>
      </c>
      <c r="B71" s="181">
        <v>0</v>
      </c>
      <c r="C71" s="2">
        <v>6</v>
      </c>
      <c r="D71" s="181">
        <f t="shared" ref="D71:D72" si="6">SUM(B71:C71)</f>
        <v>6</v>
      </c>
      <c r="E71"/>
      <c r="F71"/>
      <c r="G71"/>
      <c r="H71" s="181"/>
      <c r="I71" s="181">
        <v>1</v>
      </c>
      <c r="J71" s="181">
        <f t="shared" si="5"/>
        <v>1</v>
      </c>
      <c r="K71"/>
      <c r="L71"/>
      <c r="M71"/>
      <c r="N71"/>
      <c r="O71"/>
      <c r="P71"/>
      <c r="Q71"/>
      <c r="R71"/>
      <c r="S71"/>
    </row>
    <row r="72" spans="1:19" ht="15">
      <c r="A72" s="185" t="s">
        <v>47</v>
      </c>
      <c r="B72" s="181">
        <v>0</v>
      </c>
      <c r="C72" s="181">
        <v>5</v>
      </c>
      <c r="D72" s="181">
        <f t="shared" si="6"/>
        <v>5</v>
      </c>
      <c r="E72"/>
      <c r="F72"/>
      <c r="G72"/>
      <c r="H72" s="4"/>
      <c r="I72" s="4">
        <v>1</v>
      </c>
      <c r="J72" s="181">
        <f t="shared" si="5"/>
        <v>1</v>
      </c>
      <c r="K72"/>
      <c r="L72"/>
      <c r="M72"/>
      <c r="N72"/>
      <c r="O72"/>
      <c r="P72"/>
      <c r="Q72"/>
      <c r="R72"/>
      <c r="S72"/>
    </row>
    <row r="73" spans="1:19" ht="15">
      <c r="A73" s="181"/>
      <c r="B73" s="181"/>
      <c r="C73" s="181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ht="15">
      <c r="A74" s="181"/>
      <c r="B74" s="181"/>
      <c r="C74" s="18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ht="15">
      <c r="A75"/>
      <c r="B75" s="4" t="s">
        <v>60</v>
      </c>
      <c r="C75" s="4" t="s">
        <v>61</v>
      </c>
      <c r="D75"/>
      <c r="E75"/>
      <c r="F75" s="370" t="s">
        <v>63</v>
      </c>
      <c r="G75" s="370" t="s">
        <v>310</v>
      </c>
      <c r="H75"/>
      <c r="I75"/>
      <c r="J75"/>
      <c r="K75"/>
      <c r="L75"/>
      <c r="M75"/>
      <c r="N75"/>
      <c r="O75"/>
      <c r="P75"/>
      <c r="Q75"/>
      <c r="R75"/>
      <c r="S75"/>
    </row>
    <row r="76" spans="1:19" ht="15">
      <c r="A76" s="181" t="s">
        <v>73</v>
      </c>
      <c r="B76"/>
      <c r="C76"/>
      <c r="D76"/>
      <c r="E76" s="181" t="s">
        <v>73</v>
      </c>
      <c r="F76" s="4"/>
      <c r="G76" s="4">
        <v>1</v>
      </c>
      <c r="H76"/>
      <c r="I76"/>
      <c r="J76"/>
      <c r="K76"/>
      <c r="L76"/>
      <c r="M76"/>
      <c r="N76"/>
      <c r="O76"/>
      <c r="P76"/>
      <c r="Q76"/>
      <c r="R76"/>
      <c r="S76"/>
    </row>
    <row r="77" spans="1:19" ht="15">
      <c r="A77" s="181" t="s">
        <v>48</v>
      </c>
      <c r="B77"/>
      <c r="C77"/>
      <c r="D77"/>
      <c r="E77" s="181" t="s">
        <v>48</v>
      </c>
      <c r="F77" s="4"/>
      <c r="G77" s="4"/>
      <c r="H77"/>
      <c r="I77"/>
      <c r="J77"/>
      <c r="K77"/>
      <c r="L77"/>
      <c r="M77"/>
      <c r="N77"/>
      <c r="O77"/>
      <c r="P77"/>
      <c r="Q77"/>
      <c r="R77"/>
      <c r="S77"/>
    </row>
    <row r="78" spans="1:19" ht="15">
      <c r="A78" s="181" t="s">
        <v>49</v>
      </c>
      <c r="B78">
        <v>1</v>
      </c>
      <c r="C78"/>
      <c r="D78"/>
      <c r="E78" s="181" t="s">
        <v>49</v>
      </c>
      <c r="F78" s="4"/>
      <c r="G78" s="4">
        <v>1</v>
      </c>
    </row>
    <row r="79" spans="1:19" ht="15">
      <c r="A79" s="181" t="s">
        <v>50</v>
      </c>
      <c r="B79"/>
      <c r="C79"/>
      <c r="D79"/>
      <c r="E79" s="181" t="s">
        <v>50</v>
      </c>
      <c r="F79" s="4"/>
      <c r="G79" s="4"/>
    </row>
    <row r="80" spans="1:19" ht="15">
      <c r="A80" s="181" t="s">
        <v>311</v>
      </c>
      <c r="B80"/>
      <c r="C80"/>
      <c r="D80"/>
      <c r="E80" s="181" t="s">
        <v>311</v>
      </c>
      <c r="F80" s="4"/>
      <c r="G80" s="4">
        <v>1</v>
      </c>
    </row>
    <row r="81" spans="1:7" ht="15">
      <c r="A81" s="181" t="s">
        <v>312</v>
      </c>
      <c r="B81"/>
      <c r="C81"/>
      <c r="D81"/>
      <c r="E81" s="181" t="s">
        <v>312</v>
      </c>
      <c r="F81" s="4"/>
      <c r="G81" s="4"/>
    </row>
    <row r="82" spans="1:7" ht="15">
      <c r="A82" s="181" t="s">
        <v>313</v>
      </c>
      <c r="B82"/>
      <c r="C82"/>
      <c r="D82"/>
      <c r="E82" s="181" t="s">
        <v>313</v>
      </c>
      <c r="F82" s="4"/>
      <c r="G82" s="4"/>
    </row>
    <row r="83" spans="1:7" ht="15">
      <c r="A83" s="181" t="s">
        <v>314</v>
      </c>
      <c r="B83" s="4"/>
      <c r="C83"/>
      <c r="D83"/>
      <c r="E83" s="181" t="s">
        <v>314</v>
      </c>
      <c r="F83" s="4"/>
      <c r="G83" s="4"/>
    </row>
    <row r="84" spans="1:7" ht="15">
      <c r="A84" s="181" t="s">
        <v>44</v>
      </c>
      <c r="B84"/>
      <c r="C84" s="4"/>
      <c r="D84"/>
      <c r="E84"/>
      <c r="F84"/>
      <c r="G84"/>
    </row>
    <row r="85" spans="1:7" ht="15">
      <c r="A85" s="181" t="s">
        <v>45</v>
      </c>
      <c r="B85" s="4"/>
      <c r="C85"/>
      <c r="D85"/>
      <c r="E85"/>
      <c r="F85"/>
      <c r="G85"/>
    </row>
    <row r="86" spans="1:7" ht="15">
      <c r="A86" s="181" t="s">
        <v>46</v>
      </c>
      <c r="B86">
        <v>1</v>
      </c>
      <c r="C86"/>
      <c r="D86"/>
      <c r="E86"/>
      <c r="F86"/>
      <c r="G86"/>
    </row>
    <row r="87" spans="1:7" ht="15">
      <c r="A87" s="181" t="s">
        <v>47</v>
      </c>
      <c r="B87"/>
      <c r="C87"/>
      <c r="D87"/>
      <c r="E87"/>
      <c r="F87"/>
      <c r="G87"/>
    </row>
  </sheetData>
  <mergeCells count="1">
    <mergeCell ref="B1:H1"/>
  </mergeCells>
  <pageMargins left="0.3" right="0.25" top="0.6" bottom="0.25" header="0.3" footer="0.3"/>
  <pageSetup scale="88" orientation="landscape" r:id="rId1"/>
  <headerFooter>
    <oddHeader>&amp;C&amp;"Times New Roman,Bold"Ophthalmology Resident Call/Rounds Presentation/Vacation Schedule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77"/>
  <sheetViews>
    <sheetView zoomScale="65" zoomScaleNormal="65" zoomScalePageLayoutView="150" workbookViewId="0">
      <selection activeCell="H34" sqref="H34"/>
    </sheetView>
  </sheetViews>
  <sheetFormatPr defaultColWidth="8.7109375" defaultRowHeight="12"/>
  <cols>
    <col min="1" max="8" width="18.7109375" style="2" customWidth="1"/>
    <col min="9" max="10" width="8.7109375" style="2"/>
    <col min="11" max="11" width="14.5703125" style="2" bestFit="1" customWidth="1"/>
    <col min="12" max="17" width="8.7109375" style="2"/>
    <col min="18" max="18" width="11.28515625" style="2" bestFit="1" customWidth="1"/>
    <col min="19" max="19" width="13" style="2" bestFit="1" customWidth="1"/>
    <col min="20" max="16384" width="8.7109375" style="2"/>
  </cols>
  <sheetData>
    <row r="1" spans="1:22" ht="16.5" thickBot="1">
      <c r="A1" s="4"/>
      <c r="B1" s="407" t="s">
        <v>85</v>
      </c>
      <c r="C1" s="408"/>
      <c r="D1" s="408"/>
      <c r="E1" s="408"/>
      <c r="F1" s="408"/>
      <c r="G1" s="408"/>
      <c r="H1" s="408"/>
      <c r="J1" s="290"/>
      <c r="K1" s="290"/>
      <c r="L1" s="290"/>
      <c r="M1" s="290"/>
      <c r="N1" s="290"/>
    </row>
    <row r="2" spans="1:22" ht="12.75" thickBot="1">
      <c r="A2" s="98"/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</row>
    <row r="3" spans="1:22" ht="15">
      <c r="A3" s="100"/>
      <c r="B3" s="103">
        <v>1</v>
      </c>
      <c r="C3" s="103">
        <v>2</v>
      </c>
      <c r="D3" s="103">
        <v>3</v>
      </c>
      <c r="E3" s="103">
        <v>4</v>
      </c>
      <c r="F3" s="103">
        <v>5</v>
      </c>
      <c r="G3" s="103">
        <v>6</v>
      </c>
      <c r="H3" s="103">
        <v>7</v>
      </c>
      <c r="R3"/>
      <c r="S3"/>
      <c r="T3"/>
      <c r="U3"/>
      <c r="V3"/>
    </row>
    <row r="4" spans="1:22" ht="15">
      <c r="A4" s="104" t="s">
        <v>7</v>
      </c>
      <c r="B4" s="106" t="s">
        <v>135</v>
      </c>
      <c r="C4" s="106" t="s">
        <v>36</v>
      </c>
      <c r="D4" s="4" t="s">
        <v>134</v>
      </c>
      <c r="E4" s="106" t="s">
        <v>72</v>
      </c>
      <c r="F4" s="2" t="s">
        <v>135</v>
      </c>
      <c r="G4" s="106" t="s">
        <v>35</v>
      </c>
      <c r="H4" s="106" t="s">
        <v>136</v>
      </c>
      <c r="J4" s="10"/>
      <c r="R4"/>
      <c r="S4"/>
      <c r="T4"/>
      <c r="U4"/>
      <c r="V4"/>
    </row>
    <row r="5" spans="1:22" ht="15">
      <c r="A5" s="107" t="s">
        <v>21</v>
      </c>
      <c r="B5" s="4" t="s">
        <v>34</v>
      </c>
      <c r="C5" s="108"/>
      <c r="D5" s="108"/>
      <c r="E5" s="108"/>
      <c r="F5" s="108"/>
      <c r="G5" s="108"/>
      <c r="H5" s="108"/>
      <c r="J5"/>
      <c r="K5" s="4" t="s">
        <v>67</v>
      </c>
      <c r="L5" s="4" t="s">
        <v>68</v>
      </c>
      <c r="R5"/>
      <c r="S5"/>
      <c r="T5"/>
      <c r="U5"/>
      <c r="V5"/>
    </row>
    <row r="6" spans="1:22" ht="15">
      <c r="A6" s="107" t="s">
        <v>9</v>
      </c>
      <c r="B6" s="109" t="s">
        <v>25</v>
      </c>
      <c r="C6" s="109" t="s">
        <v>146</v>
      </c>
      <c r="D6" s="109" t="s">
        <v>26</v>
      </c>
      <c r="E6" s="109" t="s">
        <v>25</v>
      </c>
      <c r="F6" s="109" t="s">
        <v>24</v>
      </c>
      <c r="G6" s="109" t="s">
        <v>146</v>
      </c>
      <c r="H6" s="109" t="s">
        <v>146</v>
      </c>
      <c r="J6" s="181" t="s">
        <v>45</v>
      </c>
      <c r="K6" s="222" t="s">
        <v>170</v>
      </c>
      <c r="L6" s="222" t="s">
        <v>70</v>
      </c>
      <c r="M6" s="4"/>
      <c r="N6" s="4"/>
      <c r="R6"/>
      <c r="S6"/>
      <c r="T6"/>
      <c r="U6"/>
      <c r="V6"/>
    </row>
    <row r="7" spans="1:22" ht="15">
      <c r="A7" s="107" t="s">
        <v>10</v>
      </c>
      <c r="B7" s="108"/>
      <c r="C7" s="108"/>
      <c r="D7" s="108"/>
      <c r="E7" s="109" t="s">
        <v>62</v>
      </c>
      <c r="F7" s="108"/>
      <c r="G7" s="108"/>
      <c r="H7" s="108"/>
      <c r="J7" s="181" t="s">
        <v>47</v>
      </c>
      <c r="K7" s="4" t="s">
        <v>65</v>
      </c>
      <c r="L7" s="4" t="s">
        <v>302</v>
      </c>
      <c r="M7" s="222"/>
      <c r="N7" s="222"/>
      <c r="R7"/>
      <c r="S7"/>
      <c r="T7"/>
      <c r="U7"/>
      <c r="V7"/>
    </row>
    <row r="8" spans="1:22" ht="15">
      <c r="A8" s="130" t="s">
        <v>11</v>
      </c>
      <c r="B8" s="111"/>
      <c r="C8" s="110"/>
      <c r="D8" s="110"/>
      <c r="E8" s="110"/>
      <c r="F8" s="110"/>
      <c r="G8" s="110"/>
      <c r="H8" s="111"/>
      <c r="J8" s="181" t="s">
        <v>46</v>
      </c>
      <c r="K8" s="4" t="s">
        <v>66</v>
      </c>
      <c r="L8" s="4" t="s">
        <v>69</v>
      </c>
      <c r="M8" s="4"/>
      <c r="N8" s="4"/>
      <c r="R8"/>
      <c r="S8"/>
      <c r="T8"/>
      <c r="U8"/>
      <c r="V8"/>
    </row>
    <row r="9" spans="1:22" ht="15">
      <c r="A9" s="131"/>
      <c r="B9" s="111"/>
      <c r="C9" s="132"/>
      <c r="D9" s="105"/>
      <c r="E9" s="105"/>
      <c r="F9" s="105"/>
      <c r="G9" s="105"/>
      <c r="H9" s="111"/>
      <c r="I9" s="2" t="s">
        <v>316</v>
      </c>
      <c r="J9" s="181" t="s">
        <v>35</v>
      </c>
      <c r="K9" s="2" t="s">
        <v>165</v>
      </c>
      <c r="M9" s="4"/>
      <c r="N9" s="4"/>
      <c r="R9"/>
      <c r="S9"/>
      <c r="T9"/>
      <c r="U9"/>
      <c r="V9"/>
    </row>
    <row r="10" spans="1:22" ht="15.75" thickBot="1">
      <c r="A10" s="294"/>
      <c r="B10" s="376"/>
      <c r="C10" s="132"/>
      <c r="D10" s="295"/>
      <c r="E10" s="105"/>
      <c r="F10" s="105"/>
      <c r="G10" s="105"/>
      <c r="H10" s="376"/>
      <c r="I10" s="2" t="s">
        <v>316</v>
      </c>
      <c r="J10" s="181" t="s">
        <v>36</v>
      </c>
      <c r="K10" s="2" t="s">
        <v>155</v>
      </c>
      <c r="R10"/>
      <c r="S10"/>
      <c r="T10"/>
      <c r="U10"/>
      <c r="V10"/>
    </row>
    <row r="11" spans="1:22" ht="15">
      <c r="A11" s="100"/>
      <c r="B11" s="103">
        <v>8</v>
      </c>
      <c r="C11" s="101">
        <v>9</v>
      </c>
      <c r="D11" s="103">
        <v>10</v>
      </c>
      <c r="E11" s="133">
        <v>11</v>
      </c>
      <c r="F11" s="101">
        <v>12</v>
      </c>
      <c r="G11" s="101">
        <v>13</v>
      </c>
      <c r="H11" s="103">
        <v>14</v>
      </c>
      <c r="I11" s="2" t="s">
        <v>316</v>
      </c>
      <c r="J11" s="181" t="s">
        <v>34</v>
      </c>
      <c r="K11" s="2" t="s">
        <v>303</v>
      </c>
      <c r="R11"/>
      <c r="S11"/>
      <c r="T11"/>
      <c r="U11"/>
      <c r="V11"/>
    </row>
    <row r="12" spans="1:22" ht="15">
      <c r="A12" s="104" t="s">
        <v>7</v>
      </c>
      <c r="B12" s="106" t="s">
        <v>136</v>
      </c>
      <c r="C12" s="106" t="s">
        <v>35</v>
      </c>
      <c r="D12" s="4" t="s">
        <v>135</v>
      </c>
      <c r="E12" s="106" t="s">
        <v>136</v>
      </c>
      <c r="F12" s="4" t="s">
        <v>134</v>
      </c>
      <c r="G12" s="106" t="s">
        <v>72</v>
      </c>
      <c r="H12" s="106" t="s">
        <v>36</v>
      </c>
      <c r="I12" s="2" t="s">
        <v>316</v>
      </c>
      <c r="J12" s="181" t="s">
        <v>72</v>
      </c>
      <c r="K12" s="2" t="s">
        <v>163</v>
      </c>
      <c r="L12" s="2" t="s">
        <v>167</v>
      </c>
      <c r="R12"/>
      <c r="S12"/>
      <c r="T12"/>
      <c r="U12"/>
      <c r="V12"/>
    </row>
    <row r="13" spans="1:22" ht="12.75" thickBot="1">
      <c r="A13" s="107" t="s">
        <v>21</v>
      </c>
      <c r="B13" s="106" t="s">
        <v>35</v>
      </c>
      <c r="C13" s="120"/>
      <c r="D13" s="108"/>
      <c r="E13" s="108"/>
      <c r="F13" s="108"/>
      <c r="G13" s="108"/>
      <c r="H13" s="108"/>
      <c r="I13" s="2" t="s">
        <v>316</v>
      </c>
      <c r="J13" s="181" t="s">
        <v>137</v>
      </c>
      <c r="K13" s="2" t="s">
        <v>173</v>
      </c>
    </row>
    <row r="14" spans="1:22">
      <c r="A14" s="107" t="s">
        <v>9</v>
      </c>
      <c r="B14" s="109" t="s">
        <v>146</v>
      </c>
      <c r="C14" s="109" t="s">
        <v>24</v>
      </c>
      <c r="D14" s="109" t="s">
        <v>26</v>
      </c>
      <c r="E14" s="109" t="s">
        <v>26</v>
      </c>
      <c r="F14" s="109" t="s">
        <v>146</v>
      </c>
      <c r="G14" s="109" t="s">
        <v>24</v>
      </c>
      <c r="H14" s="109" t="s">
        <v>24</v>
      </c>
      <c r="J14" s="181" t="s">
        <v>306</v>
      </c>
      <c r="K14" s="2" t="s">
        <v>317</v>
      </c>
      <c r="L14" s="2" t="s">
        <v>70</v>
      </c>
    </row>
    <row r="15" spans="1:22">
      <c r="A15" s="107" t="s">
        <v>10</v>
      </c>
      <c r="B15" s="108"/>
      <c r="C15" s="108"/>
      <c r="D15" s="108"/>
      <c r="E15" s="109" t="s">
        <v>134</v>
      </c>
      <c r="F15" s="97"/>
      <c r="G15" s="97"/>
      <c r="H15" s="108"/>
      <c r="I15" s="2" t="s">
        <v>316</v>
      </c>
      <c r="J15" s="181" t="s">
        <v>307</v>
      </c>
      <c r="K15" s="2" t="s">
        <v>168</v>
      </c>
    </row>
    <row r="16" spans="1:22">
      <c r="A16" s="100" t="s">
        <v>11</v>
      </c>
      <c r="B16" s="111"/>
      <c r="C16" s="105"/>
      <c r="D16" s="105" t="s">
        <v>350</v>
      </c>
      <c r="E16" s="105"/>
      <c r="F16" s="105" t="s">
        <v>25</v>
      </c>
      <c r="G16" s="105" t="s">
        <v>252</v>
      </c>
      <c r="H16" s="111"/>
      <c r="I16" s="2" t="s">
        <v>316</v>
      </c>
      <c r="J16" s="181" t="s">
        <v>136</v>
      </c>
      <c r="K16" s="2" t="s">
        <v>154</v>
      </c>
      <c r="L16" s="2" t="s">
        <v>76</v>
      </c>
    </row>
    <row r="17" spans="1:19">
      <c r="A17" s="100"/>
      <c r="B17" s="111"/>
      <c r="C17" s="105"/>
      <c r="D17" s="105"/>
      <c r="E17" s="105"/>
      <c r="F17" s="105"/>
      <c r="G17" s="105"/>
      <c r="H17" s="111"/>
    </row>
    <row r="18" spans="1:19" ht="12.75" thickBot="1">
      <c r="A18" s="377"/>
      <c r="B18" s="376"/>
      <c r="C18" s="320"/>
      <c r="D18" s="295"/>
      <c r="E18" s="295"/>
      <c r="F18" s="295"/>
      <c r="G18" s="295"/>
      <c r="H18" s="376"/>
    </row>
    <row r="19" spans="1:19">
      <c r="A19" s="100"/>
      <c r="B19" s="103">
        <v>15</v>
      </c>
      <c r="C19" s="102" t="s">
        <v>111</v>
      </c>
      <c r="D19" s="103">
        <v>17</v>
      </c>
      <c r="E19" s="103">
        <v>18</v>
      </c>
      <c r="F19" s="103">
        <v>19</v>
      </c>
      <c r="G19" s="103">
        <v>20</v>
      </c>
      <c r="H19" s="103">
        <v>21</v>
      </c>
      <c r="J19" s="2" t="s">
        <v>241</v>
      </c>
    </row>
    <row r="20" spans="1:19">
      <c r="A20" s="104" t="s">
        <v>7</v>
      </c>
      <c r="B20" s="106" t="s">
        <v>36</v>
      </c>
      <c r="C20" s="106" t="s">
        <v>34</v>
      </c>
      <c r="D20" s="105" t="s">
        <v>134</v>
      </c>
      <c r="E20" s="106" t="s">
        <v>35</v>
      </c>
      <c r="F20" s="106" t="s">
        <v>36</v>
      </c>
      <c r="G20" s="106" t="s">
        <v>137</v>
      </c>
      <c r="H20" s="106" t="s">
        <v>34</v>
      </c>
    </row>
    <row r="21" spans="1:19" ht="12.75" thickBot="1">
      <c r="A21" s="107" t="s">
        <v>21</v>
      </c>
      <c r="B21" s="106" t="s">
        <v>134</v>
      </c>
      <c r="C21" s="120"/>
      <c r="D21" s="108"/>
      <c r="E21" s="108"/>
      <c r="F21" s="108"/>
      <c r="G21" s="108"/>
      <c r="H21" s="108"/>
    </row>
    <row r="22" spans="1:19">
      <c r="A22" s="107" t="s">
        <v>9</v>
      </c>
      <c r="B22" s="109" t="s">
        <v>24</v>
      </c>
      <c r="C22" s="109" t="s">
        <v>26</v>
      </c>
      <c r="D22" s="109" t="s">
        <v>24</v>
      </c>
      <c r="E22" s="109" t="s">
        <v>25</v>
      </c>
      <c r="F22" s="109" t="s">
        <v>24</v>
      </c>
      <c r="G22" s="105" t="s">
        <v>25</v>
      </c>
      <c r="H22" s="105" t="s">
        <v>26</v>
      </c>
    </row>
    <row r="23" spans="1:19">
      <c r="A23" s="107" t="s">
        <v>10</v>
      </c>
      <c r="B23" s="108"/>
      <c r="C23" s="108"/>
      <c r="D23" s="108"/>
      <c r="E23" s="109" t="s">
        <v>34</v>
      </c>
      <c r="F23" s="97"/>
      <c r="G23" s="97"/>
      <c r="H23" s="108"/>
      <c r="J23" s="2" t="s">
        <v>318</v>
      </c>
    </row>
    <row r="24" spans="1:19">
      <c r="A24" s="100" t="s">
        <v>11</v>
      </c>
      <c r="B24" s="111"/>
      <c r="C24" s="57" t="s">
        <v>72</v>
      </c>
      <c r="D24" s="57" t="s">
        <v>72</v>
      </c>
      <c r="E24" s="57" t="s">
        <v>72</v>
      </c>
      <c r="F24" s="57" t="s">
        <v>72</v>
      </c>
      <c r="G24" s="360" t="s">
        <v>72</v>
      </c>
      <c r="H24" s="111"/>
    </row>
    <row r="25" spans="1:19">
      <c r="A25" s="131"/>
      <c r="B25" s="111"/>
      <c r="C25" s="14" t="s">
        <v>136</v>
      </c>
      <c r="D25" s="14" t="s">
        <v>135</v>
      </c>
      <c r="E25" s="361" t="s">
        <v>135</v>
      </c>
      <c r="F25" s="14" t="s">
        <v>135</v>
      </c>
      <c r="G25" s="14" t="s">
        <v>135</v>
      </c>
      <c r="H25" s="111"/>
    </row>
    <row r="26" spans="1:19" ht="12.75" thickBot="1">
      <c r="A26" s="378"/>
      <c r="B26" s="296"/>
      <c r="C26" s="105"/>
      <c r="D26" s="105" t="s">
        <v>136</v>
      </c>
      <c r="E26" s="295" t="s">
        <v>136</v>
      </c>
      <c r="F26" s="295" t="s">
        <v>136</v>
      </c>
      <c r="G26" s="362" t="s">
        <v>136</v>
      </c>
      <c r="H26" s="376"/>
    </row>
    <row r="27" spans="1:19">
      <c r="A27" s="100"/>
      <c r="B27" s="103">
        <v>22</v>
      </c>
      <c r="C27" s="136">
        <v>23</v>
      </c>
      <c r="D27" s="136">
        <v>24</v>
      </c>
      <c r="E27" s="102">
        <v>25</v>
      </c>
      <c r="F27" s="102">
        <v>26</v>
      </c>
      <c r="G27" s="102">
        <v>27</v>
      </c>
      <c r="H27" s="103">
        <v>28</v>
      </c>
    </row>
    <row r="28" spans="1:19" ht="15">
      <c r="A28" s="104" t="s">
        <v>7</v>
      </c>
      <c r="B28" s="106" t="s">
        <v>34</v>
      </c>
      <c r="C28" s="106" t="s">
        <v>136</v>
      </c>
      <c r="D28" s="106" t="s">
        <v>72</v>
      </c>
      <c r="E28" s="106" t="s">
        <v>34</v>
      </c>
      <c r="F28" s="106" t="s">
        <v>72</v>
      </c>
      <c r="G28" s="106" t="s">
        <v>136</v>
      </c>
      <c r="H28" s="106" t="s">
        <v>35</v>
      </c>
      <c r="N28" s="222"/>
      <c r="R28"/>
      <c r="S28"/>
    </row>
    <row r="29" spans="1:19">
      <c r="A29" s="107" t="s">
        <v>21</v>
      </c>
      <c r="B29" s="106" t="s">
        <v>137</v>
      </c>
      <c r="C29" s="135"/>
      <c r="D29" s="135"/>
      <c r="E29" s="108"/>
      <c r="F29" s="108"/>
      <c r="G29" s="108"/>
      <c r="H29" s="108"/>
    </row>
    <row r="30" spans="1:19">
      <c r="A30" s="107" t="s">
        <v>9</v>
      </c>
      <c r="B30" s="109" t="s">
        <v>26</v>
      </c>
      <c r="C30" s="109" t="s">
        <v>146</v>
      </c>
      <c r="D30" s="109" t="s">
        <v>25</v>
      </c>
      <c r="E30" s="109" t="s">
        <v>26</v>
      </c>
      <c r="F30" s="109" t="s">
        <v>146</v>
      </c>
      <c r="G30" s="105" t="s">
        <v>24</v>
      </c>
      <c r="H30" s="105" t="s">
        <v>25</v>
      </c>
    </row>
    <row r="31" spans="1:19">
      <c r="A31" s="107" t="s">
        <v>10</v>
      </c>
      <c r="B31" s="108"/>
      <c r="C31" s="135"/>
      <c r="D31" s="135"/>
      <c r="E31" s="109" t="s">
        <v>26</v>
      </c>
      <c r="F31" s="97"/>
      <c r="G31" s="97"/>
      <c r="H31" s="108"/>
    </row>
    <row r="32" spans="1:19">
      <c r="A32" s="100" t="s">
        <v>11</v>
      </c>
      <c r="B32" s="111"/>
      <c r="C32" s="57" t="s">
        <v>134</v>
      </c>
      <c r="D32" s="57" t="s">
        <v>134</v>
      </c>
      <c r="E32" s="57" t="s">
        <v>248</v>
      </c>
      <c r="F32" s="57" t="s">
        <v>134</v>
      </c>
      <c r="G32" s="57" t="s">
        <v>134</v>
      </c>
      <c r="H32" s="111"/>
    </row>
    <row r="33" spans="1:16" ht="12.75" thickBot="1">
      <c r="A33" s="100"/>
      <c r="B33" s="111"/>
      <c r="C33" s="105"/>
      <c r="D33" s="105"/>
      <c r="E33" s="14" t="s">
        <v>134</v>
      </c>
      <c r="F33" s="105"/>
      <c r="G33" s="14"/>
      <c r="H33" s="376"/>
    </row>
    <row r="34" spans="1:16" ht="12.75" thickBot="1">
      <c r="A34" s="294"/>
      <c r="B34" s="297"/>
      <c r="C34" s="295"/>
      <c r="D34" s="295"/>
      <c r="E34" s="319" t="s">
        <v>231</v>
      </c>
      <c r="F34" s="295"/>
      <c r="G34" s="295"/>
      <c r="H34" s="297"/>
    </row>
    <row r="35" spans="1:16">
      <c r="A35" s="37" t="s">
        <v>17</v>
      </c>
      <c r="H35" s="125" t="s">
        <v>357</v>
      </c>
    </row>
    <row r="36" spans="1:16">
      <c r="A36" s="2" t="s">
        <v>22</v>
      </c>
      <c r="H36" s="125"/>
    </row>
    <row r="37" spans="1:16">
      <c r="A37" s="2" t="s">
        <v>112</v>
      </c>
      <c r="G37" s="40" t="s">
        <v>13</v>
      </c>
    </row>
    <row r="39" spans="1:16" ht="12" customHeight="1">
      <c r="A39" s="39"/>
      <c r="I39" s="4"/>
    </row>
    <row r="40" spans="1:16" ht="12" customHeight="1">
      <c r="A40" s="178" t="s">
        <v>265</v>
      </c>
      <c r="B40" s="51"/>
      <c r="C40" s="51"/>
      <c r="D40" s="51"/>
      <c r="E40" s="51"/>
      <c r="F40" s="51"/>
      <c r="G40" s="51"/>
      <c r="H40" s="51"/>
      <c r="I40" s="3"/>
    </row>
    <row r="41" spans="1:16" ht="12" customHeight="1" thickBot="1">
      <c r="A41" s="51" t="s">
        <v>144</v>
      </c>
      <c r="B41" s="51"/>
      <c r="C41" s="51"/>
      <c r="D41" s="51"/>
      <c r="E41" s="51"/>
      <c r="F41" s="51"/>
      <c r="G41" s="51"/>
      <c r="H41" s="51"/>
      <c r="I41" s="3"/>
    </row>
    <row r="42" spans="1:16" ht="12" customHeight="1">
      <c r="A42" s="75" t="s">
        <v>14</v>
      </c>
      <c r="B42" s="81"/>
      <c r="C42" s="175" t="s">
        <v>1</v>
      </c>
      <c r="D42" s="175" t="s">
        <v>2</v>
      </c>
      <c r="E42" s="175" t="s">
        <v>3</v>
      </c>
      <c r="F42" s="175" t="s">
        <v>4</v>
      </c>
      <c r="G42" s="175" t="s">
        <v>5</v>
      </c>
      <c r="H42" s="51"/>
      <c r="I42" s="3"/>
    </row>
    <row r="43" spans="1:16" ht="12" customHeight="1">
      <c r="A43" s="75"/>
      <c r="B43" s="173" t="s">
        <v>32</v>
      </c>
      <c r="C43" s="59" t="s">
        <v>204</v>
      </c>
      <c r="D43" s="174"/>
      <c r="E43" s="174"/>
      <c r="F43" s="174"/>
      <c r="G43" s="174"/>
      <c r="H43" s="51"/>
      <c r="I43" s="3"/>
    </row>
    <row r="44" spans="1:16" ht="12" customHeight="1">
      <c r="A44" s="39"/>
      <c r="B44" s="173" t="s">
        <v>15</v>
      </c>
      <c r="C44" s="170" t="s">
        <v>36</v>
      </c>
      <c r="D44" s="170"/>
      <c r="E44" s="170" t="s">
        <v>34</v>
      </c>
      <c r="F44" s="170" t="s">
        <v>35</v>
      </c>
      <c r="G44" s="170" t="s">
        <v>72</v>
      </c>
      <c r="I44" s="4"/>
    </row>
    <row r="45" spans="1:16" ht="15">
      <c r="A45" s="39"/>
      <c r="B45" s="231"/>
      <c r="C45" s="233" t="s">
        <v>134</v>
      </c>
      <c r="D45" s="233"/>
      <c r="E45" s="233" t="s">
        <v>135</v>
      </c>
      <c r="F45" s="233"/>
      <c r="G45" s="233" t="s">
        <v>136</v>
      </c>
      <c r="I45" s="4"/>
    </row>
    <row r="47" spans="1:16" ht="15">
      <c r="A47"/>
      <c r="B47" s="370" t="s">
        <v>53</v>
      </c>
      <c r="C47" s="370" t="s">
        <v>319</v>
      </c>
      <c r="D47" s="370" t="s">
        <v>52</v>
      </c>
      <c r="E47" s="370" t="s">
        <v>58</v>
      </c>
      <c r="F47" s="370" t="s">
        <v>319</v>
      </c>
      <c r="G47" s="370" t="s">
        <v>52</v>
      </c>
      <c r="H47" s="370" t="s">
        <v>74</v>
      </c>
      <c r="I47" s="370" t="s">
        <v>319</v>
      </c>
      <c r="J47" s="370" t="s">
        <v>52</v>
      </c>
      <c r="K47" s="370" t="s">
        <v>54</v>
      </c>
      <c r="L47" s="370" t="s">
        <v>319</v>
      </c>
      <c r="M47" s="370" t="s">
        <v>52</v>
      </c>
      <c r="N47"/>
      <c r="O47"/>
      <c r="P47"/>
    </row>
    <row r="48" spans="1:16" ht="15">
      <c r="A48" s="371" t="s">
        <v>73</v>
      </c>
      <c r="B48" s="181">
        <v>2</v>
      </c>
      <c r="C48" s="181">
        <f>COUNTIF(C4:F28,"Sears")-4</f>
        <v>3</v>
      </c>
      <c r="D48" s="181">
        <f>SUM(B48:C48)</f>
        <v>5</v>
      </c>
      <c r="E48" s="4">
        <v>1</v>
      </c>
      <c r="F48" s="4">
        <v>0</v>
      </c>
      <c r="G48" s="4">
        <f>SUM(E48:F48)</f>
        <v>1</v>
      </c>
      <c r="H48" s="4">
        <v>1</v>
      </c>
      <c r="I48" s="4">
        <v>1</v>
      </c>
      <c r="J48" s="4">
        <f>SUM(H48:I48)</f>
        <v>2</v>
      </c>
      <c r="K48" s="181">
        <v>1</v>
      </c>
      <c r="L48" s="181">
        <v>0</v>
      </c>
      <c r="M48" s="181">
        <f>SUM(K48:L48)</f>
        <v>1</v>
      </c>
      <c r="N48"/>
      <c r="O48"/>
      <c r="P48" s="4"/>
    </row>
    <row r="49" spans="1:16" ht="15">
      <c r="A49" s="371" t="s">
        <v>48</v>
      </c>
      <c r="B49" s="181">
        <v>0</v>
      </c>
      <c r="C49" s="181">
        <f>COUNTIF(C4:F28,"Thompson")-1</f>
        <v>2</v>
      </c>
      <c r="D49" s="379">
        <f t="shared" ref="D49:D55" si="0">SUM(B49:C49)</f>
        <v>2</v>
      </c>
      <c r="E49" s="4">
        <v>0</v>
      </c>
      <c r="F49" s="4">
        <v>1</v>
      </c>
      <c r="G49" s="4">
        <f t="shared" ref="G49:G55" si="1">SUM(E49:F49)</f>
        <v>1</v>
      </c>
      <c r="H49" s="4">
        <v>1</v>
      </c>
      <c r="I49" s="4">
        <v>0</v>
      </c>
      <c r="J49" s="4">
        <f t="shared" ref="J49:J55" si="2">SUM(H49:I49)</f>
        <v>1</v>
      </c>
      <c r="K49" s="181">
        <v>1</v>
      </c>
      <c r="L49" s="181">
        <v>1</v>
      </c>
      <c r="M49" s="181">
        <f t="shared" ref="M49:M55" si="3">SUM(K49:L49)</f>
        <v>2</v>
      </c>
      <c r="N49"/>
      <c r="O49"/>
      <c r="P49" s="4"/>
    </row>
    <row r="50" spans="1:16" ht="15">
      <c r="A50" s="371" t="s">
        <v>49</v>
      </c>
      <c r="B50" s="181">
        <v>2</v>
      </c>
      <c r="C50" s="181">
        <f>COUNTIF(C4:F28,"Miller")</f>
        <v>2</v>
      </c>
      <c r="D50" s="181">
        <f t="shared" si="0"/>
        <v>4</v>
      </c>
      <c r="E50" s="4">
        <v>0</v>
      </c>
      <c r="F50" s="4">
        <v>1</v>
      </c>
      <c r="G50" s="4">
        <f t="shared" si="1"/>
        <v>1</v>
      </c>
      <c r="H50" s="4">
        <v>2</v>
      </c>
      <c r="I50" s="4">
        <v>1</v>
      </c>
      <c r="J50" s="4">
        <f t="shared" si="2"/>
        <v>3</v>
      </c>
      <c r="K50" s="181">
        <v>0</v>
      </c>
      <c r="L50" s="181">
        <v>1</v>
      </c>
      <c r="M50" s="181">
        <f t="shared" si="3"/>
        <v>1</v>
      </c>
      <c r="N50"/>
      <c r="O50"/>
      <c r="P50" s="4"/>
    </row>
    <row r="51" spans="1:16" ht="15">
      <c r="A51" s="371" t="s">
        <v>50</v>
      </c>
      <c r="B51" s="181">
        <v>3</v>
      </c>
      <c r="C51" s="181">
        <f>COUNTIF(C4:F28,"Philbrick")</f>
        <v>2</v>
      </c>
      <c r="D51" s="181">
        <f t="shared" si="0"/>
        <v>5</v>
      </c>
      <c r="E51" s="4">
        <v>0</v>
      </c>
      <c r="F51" s="4">
        <v>1</v>
      </c>
      <c r="G51" s="229">
        <f t="shared" si="1"/>
        <v>1</v>
      </c>
      <c r="H51" s="4">
        <v>0</v>
      </c>
      <c r="I51" s="4">
        <v>0</v>
      </c>
      <c r="J51" s="229">
        <f t="shared" si="2"/>
        <v>0</v>
      </c>
      <c r="K51" s="181">
        <v>1</v>
      </c>
      <c r="L51" s="181">
        <v>1</v>
      </c>
      <c r="M51" s="181">
        <f t="shared" si="3"/>
        <v>2</v>
      </c>
      <c r="N51"/>
      <c r="O51"/>
      <c r="P51" s="4"/>
    </row>
    <row r="52" spans="1:16" ht="15">
      <c r="A52" s="371" t="s">
        <v>311</v>
      </c>
      <c r="B52" s="181">
        <v>3</v>
      </c>
      <c r="C52" s="4">
        <v>0</v>
      </c>
      <c r="D52" s="181">
        <f t="shared" si="0"/>
        <v>3</v>
      </c>
      <c r="E52" s="4">
        <v>1</v>
      </c>
      <c r="F52" s="4">
        <v>1</v>
      </c>
      <c r="G52" s="4">
        <f t="shared" si="1"/>
        <v>2</v>
      </c>
      <c r="H52" s="4">
        <v>0</v>
      </c>
      <c r="I52" s="4">
        <v>1</v>
      </c>
      <c r="J52" s="4">
        <f t="shared" si="2"/>
        <v>1</v>
      </c>
      <c r="K52" s="181">
        <v>0</v>
      </c>
      <c r="L52" s="181">
        <v>0</v>
      </c>
      <c r="M52" s="379">
        <f t="shared" si="3"/>
        <v>0</v>
      </c>
      <c r="N52"/>
      <c r="O52"/>
      <c r="P52" s="4"/>
    </row>
    <row r="53" spans="1:16" ht="15">
      <c r="A53" s="371" t="s">
        <v>312</v>
      </c>
      <c r="B53" s="181">
        <v>2</v>
      </c>
      <c r="C53" s="4">
        <f>COUNTIF(C4:F28,"Moezzi")-1</f>
        <v>3</v>
      </c>
      <c r="D53" s="181">
        <f t="shared" si="0"/>
        <v>5</v>
      </c>
      <c r="E53" s="4">
        <v>1</v>
      </c>
      <c r="F53" s="4">
        <v>1</v>
      </c>
      <c r="G53" s="4">
        <f t="shared" si="1"/>
        <v>2</v>
      </c>
      <c r="H53" s="4">
        <v>0</v>
      </c>
      <c r="I53" s="4">
        <v>1</v>
      </c>
      <c r="J53" s="4">
        <f t="shared" si="2"/>
        <v>1</v>
      </c>
      <c r="K53" s="181">
        <v>1</v>
      </c>
      <c r="L53" s="181">
        <v>0</v>
      </c>
      <c r="M53" s="181">
        <f t="shared" si="3"/>
        <v>1</v>
      </c>
      <c r="N53"/>
      <c r="O53"/>
      <c r="P53" s="4"/>
    </row>
    <row r="54" spans="1:16" ht="15">
      <c r="A54" s="371" t="s">
        <v>313</v>
      </c>
      <c r="B54" s="181">
        <v>3</v>
      </c>
      <c r="C54" s="4">
        <f>COUNTIF(C4:F28,"Tung")-4</f>
        <v>1</v>
      </c>
      <c r="D54" s="181">
        <f t="shared" si="0"/>
        <v>4</v>
      </c>
      <c r="E54" s="4">
        <v>1</v>
      </c>
      <c r="F54" s="4"/>
      <c r="G54" s="4">
        <f t="shared" si="1"/>
        <v>1</v>
      </c>
      <c r="H54" s="4">
        <v>1</v>
      </c>
      <c r="I54" s="4">
        <v>0</v>
      </c>
      <c r="J54" s="4">
        <f t="shared" si="2"/>
        <v>1</v>
      </c>
      <c r="K54" s="181">
        <v>1</v>
      </c>
      <c r="L54" s="181">
        <v>0</v>
      </c>
      <c r="M54" s="181">
        <f t="shared" si="3"/>
        <v>1</v>
      </c>
      <c r="N54"/>
      <c r="O54"/>
      <c r="P54" s="4"/>
    </row>
    <row r="55" spans="1:16" ht="15.75" thickBot="1">
      <c r="A55" s="371" t="s">
        <v>314</v>
      </c>
      <c r="B55" s="181">
        <v>0</v>
      </c>
      <c r="C55" s="4">
        <f>COUNTIF(C4:F28,"Wen")-4</f>
        <v>2</v>
      </c>
      <c r="D55" s="379">
        <f t="shared" si="0"/>
        <v>2</v>
      </c>
      <c r="E55" s="4">
        <v>0</v>
      </c>
      <c r="F55" s="4">
        <v>0</v>
      </c>
      <c r="G55" s="229">
        <f t="shared" si="1"/>
        <v>0</v>
      </c>
      <c r="H55" s="4">
        <v>0</v>
      </c>
      <c r="I55" s="4">
        <v>1</v>
      </c>
      <c r="J55" s="4">
        <f t="shared" si="2"/>
        <v>1</v>
      </c>
      <c r="K55" s="181">
        <v>0</v>
      </c>
      <c r="L55" s="181">
        <v>1</v>
      </c>
      <c r="M55" s="181">
        <f t="shared" si="3"/>
        <v>1</v>
      </c>
      <c r="N55"/>
      <c r="O55"/>
      <c r="P55" s="4"/>
    </row>
    <row r="56" spans="1:16" ht="15.75" thickBot="1">
      <c r="A56" s="185"/>
      <c r="B56" s="370">
        <f t="shared" ref="B56:M56" si="4">SUM(B48:B55)</f>
        <v>15</v>
      </c>
      <c r="C56" s="372">
        <f t="shared" si="4"/>
        <v>15</v>
      </c>
      <c r="D56" s="370">
        <f t="shared" si="4"/>
        <v>30</v>
      </c>
      <c r="E56" s="370">
        <f t="shared" si="4"/>
        <v>4</v>
      </c>
      <c r="F56" s="372">
        <f t="shared" si="4"/>
        <v>5</v>
      </c>
      <c r="G56" s="370">
        <f t="shared" si="4"/>
        <v>9</v>
      </c>
      <c r="H56" s="370">
        <f t="shared" si="4"/>
        <v>5</v>
      </c>
      <c r="I56" s="372">
        <f t="shared" si="4"/>
        <v>5</v>
      </c>
      <c r="J56" s="370">
        <f t="shared" si="4"/>
        <v>10</v>
      </c>
      <c r="K56" s="370">
        <f t="shared" si="4"/>
        <v>5</v>
      </c>
      <c r="L56" s="372">
        <f t="shared" si="4"/>
        <v>4</v>
      </c>
      <c r="M56" s="370">
        <f t="shared" si="4"/>
        <v>9</v>
      </c>
      <c r="N56"/>
      <c r="O56" s="4" t="s">
        <v>320</v>
      </c>
      <c r="P56" s="373">
        <f>SUM(C56,F56,I56,L56)</f>
        <v>29</v>
      </c>
    </row>
    <row r="57" spans="1:16" ht="15">
      <c r="A57" s="185"/>
      <c r="B57" s="181"/>
      <c r="C57" s="181"/>
      <c r="D57" s="181"/>
      <c r="E57"/>
      <c r="F57"/>
      <c r="G57"/>
      <c r="H57" s="181"/>
      <c r="I57" s="181"/>
      <c r="J57" s="181"/>
      <c r="K57"/>
      <c r="L57"/>
      <c r="M57"/>
      <c r="N57"/>
      <c r="O57"/>
      <c r="P57"/>
    </row>
    <row r="58" spans="1:16" ht="15">
      <c r="A58" s="185"/>
      <c r="B58" s="374" t="s">
        <v>53</v>
      </c>
      <c r="C58" s="375" t="s">
        <v>319</v>
      </c>
      <c r="D58" s="374" t="s">
        <v>52</v>
      </c>
      <c r="E58"/>
      <c r="F58"/>
      <c r="G58"/>
      <c r="H58" s="374" t="s">
        <v>54</v>
      </c>
      <c r="I58" s="375" t="s">
        <v>319</v>
      </c>
      <c r="J58" s="374" t="s">
        <v>52</v>
      </c>
      <c r="K58"/>
      <c r="L58"/>
      <c r="M58"/>
      <c r="N58"/>
      <c r="O58"/>
      <c r="P58"/>
    </row>
    <row r="59" spans="1:16" ht="15">
      <c r="A59" s="185" t="s">
        <v>44</v>
      </c>
      <c r="B59" s="181">
        <v>5</v>
      </c>
      <c r="C59" s="181">
        <f>COUNTIF(C4:G30,"Dieu")</f>
        <v>6</v>
      </c>
      <c r="D59" s="181">
        <f>SUM(B59:C59)</f>
        <v>11</v>
      </c>
      <c r="E59"/>
      <c r="F59"/>
      <c r="G59"/>
      <c r="H59" s="181">
        <v>1</v>
      </c>
      <c r="I59" s="181">
        <v>1</v>
      </c>
      <c r="J59" s="181">
        <f>SUM(H59:I59)</f>
        <v>2</v>
      </c>
      <c r="K59"/>
      <c r="L59"/>
      <c r="M59"/>
      <c r="N59"/>
      <c r="O59"/>
      <c r="P59"/>
    </row>
    <row r="60" spans="1:16" ht="15">
      <c r="A60" s="185" t="s">
        <v>45</v>
      </c>
      <c r="B60" s="181">
        <v>5</v>
      </c>
      <c r="C60" s="181">
        <f>COUNTIF(C4:G30,"Huynh")-5</f>
        <v>0</v>
      </c>
      <c r="D60" s="181">
        <f>SUM(B60:C60)</f>
        <v>5</v>
      </c>
      <c r="E60"/>
      <c r="F60"/>
      <c r="G60"/>
      <c r="H60" s="181">
        <v>2</v>
      </c>
      <c r="I60" s="181">
        <v>1</v>
      </c>
      <c r="J60" s="181">
        <f t="shared" ref="J60:J62" si="5">SUM(H60:I60)</f>
        <v>3</v>
      </c>
      <c r="K60"/>
      <c r="L60"/>
      <c r="M60"/>
      <c r="N60"/>
      <c r="O60"/>
      <c r="P60"/>
    </row>
    <row r="61" spans="1:16" ht="15">
      <c r="A61" s="185" t="s">
        <v>46</v>
      </c>
      <c r="B61" s="181">
        <v>6</v>
      </c>
      <c r="C61" s="2">
        <f>COUNTIF(C4:G30,"Mathew")</f>
        <v>5</v>
      </c>
      <c r="D61" s="181">
        <f t="shared" ref="D61:D62" si="6">SUM(B61:C61)</f>
        <v>11</v>
      </c>
      <c r="E61"/>
      <c r="F61"/>
      <c r="G61"/>
      <c r="H61" s="181">
        <v>1</v>
      </c>
      <c r="I61" s="181">
        <v>1</v>
      </c>
      <c r="J61" s="181">
        <f t="shared" si="5"/>
        <v>2</v>
      </c>
      <c r="K61"/>
      <c r="L61"/>
      <c r="M61"/>
      <c r="N61"/>
      <c r="O61"/>
      <c r="P61"/>
    </row>
    <row r="62" spans="1:16" ht="15">
      <c r="A62" s="185" t="s">
        <v>47</v>
      </c>
      <c r="B62" s="181">
        <v>5</v>
      </c>
      <c r="C62" s="181">
        <f>COUNTIF(C4:G30,"Noh")</f>
        <v>5</v>
      </c>
      <c r="D62" s="181">
        <f t="shared" si="6"/>
        <v>10</v>
      </c>
      <c r="E62"/>
      <c r="F62"/>
      <c r="G62"/>
      <c r="H62" s="4">
        <v>1</v>
      </c>
      <c r="I62" s="4">
        <v>1</v>
      </c>
      <c r="J62" s="181">
        <f t="shared" si="5"/>
        <v>2</v>
      </c>
      <c r="K62"/>
      <c r="L62"/>
      <c r="M62"/>
      <c r="N62"/>
      <c r="O62"/>
      <c r="P62"/>
    </row>
    <row r="63" spans="1:16" ht="15">
      <c r="A63" s="181"/>
      <c r="B63" s="181"/>
      <c r="C63" s="181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>
      <c r="A64" s="181"/>
      <c r="B64" s="181"/>
      <c r="C64" s="181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>
      <c r="A65"/>
      <c r="B65" s="4" t="s">
        <v>60</v>
      </c>
      <c r="C65" s="4" t="s">
        <v>61</v>
      </c>
      <c r="D65"/>
      <c r="E65"/>
      <c r="F65" s="370" t="s">
        <v>63</v>
      </c>
      <c r="G65" s="370" t="s">
        <v>319</v>
      </c>
      <c r="H65" s="4" t="s">
        <v>52</v>
      </c>
      <c r="I65"/>
      <c r="J65"/>
      <c r="K65"/>
      <c r="L65"/>
      <c r="M65"/>
      <c r="N65"/>
      <c r="O65"/>
      <c r="P65"/>
    </row>
    <row r="66" spans="1:16" ht="15">
      <c r="A66" s="181" t="s">
        <v>73</v>
      </c>
      <c r="B66"/>
      <c r="C66"/>
      <c r="D66"/>
      <c r="E66" s="181" t="s">
        <v>73</v>
      </c>
      <c r="F66" s="4">
        <v>1</v>
      </c>
      <c r="G66" s="4"/>
      <c r="H66">
        <f>SUM(F66:G66)</f>
        <v>1</v>
      </c>
      <c r="I66"/>
      <c r="J66"/>
      <c r="K66"/>
      <c r="L66"/>
      <c r="M66"/>
      <c r="N66"/>
      <c r="O66"/>
      <c r="P66"/>
    </row>
    <row r="67" spans="1:16" ht="15">
      <c r="A67" s="181" t="s">
        <v>48</v>
      </c>
      <c r="B67"/>
      <c r="C67"/>
      <c r="D67"/>
      <c r="E67" s="181" t="s">
        <v>48</v>
      </c>
      <c r="F67" s="4"/>
      <c r="G67" s="4">
        <v>1</v>
      </c>
      <c r="H67">
        <f t="shared" ref="H67:H73" si="7">SUM(F67:G67)</f>
        <v>1</v>
      </c>
      <c r="I67"/>
      <c r="J67"/>
      <c r="K67"/>
      <c r="L67"/>
      <c r="M67"/>
      <c r="N67"/>
      <c r="O67"/>
      <c r="P67"/>
    </row>
    <row r="68" spans="1:16" ht="15">
      <c r="A68" s="181" t="s">
        <v>49</v>
      </c>
      <c r="B68">
        <v>1</v>
      </c>
      <c r="C68"/>
      <c r="D68"/>
      <c r="E68" s="181" t="s">
        <v>49</v>
      </c>
      <c r="F68" s="4">
        <v>1</v>
      </c>
      <c r="G68" s="4"/>
      <c r="H68">
        <f t="shared" si="7"/>
        <v>1</v>
      </c>
    </row>
    <row r="69" spans="1:16" ht="15">
      <c r="A69" s="181" t="s">
        <v>50</v>
      </c>
      <c r="B69"/>
      <c r="C69"/>
      <c r="D69"/>
      <c r="E69" s="181" t="s">
        <v>50</v>
      </c>
      <c r="F69" s="4"/>
      <c r="G69" s="4">
        <v>1</v>
      </c>
      <c r="H69">
        <f t="shared" si="7"/>
        <v>1</v>
      </c>
      <c r="I69" s="2">
        <v>1</v>
      </c>
    </row>
    <row r="70" spans="1:16" ht="15">
      <c r="A70" s="181" t="s">
        <v>311</v>
      </c>
      <c r="B70"/>
      <c r="C70"/>
      <c r="D70"/>
      <c r="E70" s="181" t="s">
        <v>311</v>
      </c>
      <c r="F70" s="4">
        <v>1</v>
      </c>
      <c r="G70" s="4"/>
      <c r="H70">
        <f t="shared" si="7"/>
        <v>1</v>
      </c>
    </row>
    <row r="71" spans="1:16" ht="15">
      <c r="A71" s="181" t="s">
        <v>312</v>
      </c>
      <c r="B71"/>
      <c r="C71"/>
      <c r="D71"/>
      <c r="E71" s="181" t="s">
        <v>312</v>
      </c>
      <c r="F71" s="4"/>
      <c r="G71" s="4">
        <v>1</v>
      </c>
      <c r="H71">
        <f t="shared" si="7"/>
        <v>1</v>
      </c>
    </row>
    <row r="72" spans="1:16" ht="15">
      <c r="A72" s="181" t="s">
        <v>313</v>
      </c>
      <c r="B72"/>
      <c r="C72"/>
      <c r="D72"/>
      <c r="E72" s="181" t="s">
        <v>313</v>
      </c>
      <c r="F72" s="4"/>
      <c r="G72" s="4"/>
      <c r="H72">
        <f t="shared" si="7"/>
        <v>0</v>
      </c>
    </row>
    <row r="73" spans="1:16" ht="15">
      <c r="A73" s="181" t="s">
        <v>314</v>
      </c>
      <c r="B73" s="4"/>
      <c r="C73"/>
      <c r="D73"/>
      <c r="E73" s="181" t="s">
        <v>314</v>
      </c>
      <c r="F73" s="4"/>
      <c r="G73" s="4"/>
      <c r="H73">
        <f t="shared" si="7"/>
        <v>0</v>
      </c>
    </row>
    <row r="74" spans="1:16" ht="15">
      <c r="A74" s="181" t="s">
        <v>44</v>
      </c>
      <c r="B74"/>
      <c r="C74" s="4"/>
      <c r="D74"/>
      <c r="E74"/>
      <c r="F74"/>
      <c r="G74"/>
    </row>
    <row r="75" spans="1:16" ht="15">
      <c r="A75" s="181" t="s">
        <v>45</v>
      </c>
      <c r="B75" s="4"/>
      <c r="C75"/>
      <c r="D75"/>
      <c r="E75"/>
      <c r="F75"/>
      <c r="G75"/>
    </row>
    <row r="76" spans="1:16" ht="15">
      <c r="A76" s="181" t="s">
        <v>46</v>
      </c>
      <c r="B76">
        <v>1</v>
      </c>
      <c r="C76"/>
      <c r="D76"/>
      <c r="E76"/>
      <c r="F76"/>
      <c r="G76"/>
    </row>
    <row r="77" spans="1:16" ht="15">
      <c r="A77" s="181" t="s">
        <v>47</v>
      </c>
      <c r="B77"/>
      <c r="C77"/>
      <c r="D77"/>
      <c r="E77"/>
      <c r="F77"/>
      <c r="G77"/>
    </row>
  </sheetData>
  <mergeCells count="1">
    <mergeCell ref="B1:H1"/>
  </mergeCells>
  <pageMargins left="0.25" right="0.25" top="0.63" bottom="0.25" header="0.25" footer="0.25"/>
  <pageSetup scale="89" orientation="landscape" r:id="rId1"/>
  <headerFooter>
    <oddHeader>&amp;C&amp;"Times New Roman,Bold"Ophthalmology Resident Call/Rounds Presentation/Vacation Schedule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87"/>
  <sheetViews>
    <sheetView zoomScale="73" zoomScaleNormal="73" zoomScalePageLayoutView="150" workbookViewId="0"/>
  </sheetViews>
  <sheetFormatPr defaultColWidth="8.7109375" defaultRowHeight="12"/>
  <cols>
    <col min="1" max="8" width="18.7109375" style="2" customWidth="1"/>
    <col min="9" max="10" width="8.7109375" style="2"/>
    <col min="11" max="11" width="13.85546875" style="2" customWidth="1"/>
    <col min="12" max="14" width="8.7109375" style="2"/>
    <col min="15" max="15" width="13.42578125" style="2" bestFit="1" customWidth="1"/>
    <col min="16" max="16384" width="8.7109375" style="2"/>
  </cols>
  <sheetData>
    <row r="1" spans="1:16" ht="16.5" thickBot="1">
      <c r="B1" s="405" t="s">
        <v>84</v>
      </c>
      <c r="C1" s="406"/>
      <c r="D1" s="406"/>
      <c r="E1" s="406"/>
      <c r="F1" s="406"/>
      <c r="G1" s="406"/>
      <c r="H1" s="406"/>
    </row>
    <row r="2" spans="1:16" ht="12.75" thickBot="1">
      <c r="A2" s="98"/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</row>
    <row r="3" spans="1:16" ht="15">
      <c r="A3" s="100"/>
      <c r="B3" s="102">
        <v>1</v>
      </c>
      <c r="C3" s="102" t="s">
        <v>235</v>
      </c>
      <c r="D3" s="102" t="s">
        <v>236</v>
      </c>
      <c r="E3" s="102" t="s">
        <v>237</v>
      </c>
      <c r="F3" s="102" t="s">
        <v>238</v>
      </c>
      <c r="G3" s="102" t="s">
        <v>239</v>
      </c>
      <c r="H3" s="103">
        <v>7</v>
      </c>
      <c r="N3"/>
      <c r="O3" s="4" t="s">
        <v>67</v>
      </c>
      <c r="P3" s="4" t="s">
        <v>68</v>
      </c>
    </row>
    <row r="4" spans="1:16">
      <c r="A4" s="104" t="s">
        <v>7</v>
      </c>
      <c r="B4" s="106" t="s">
        <v>35</v>
      </c>
      <c r="C4" s="106" t="s">
        <v>34</v>
      </c>
      <c r="D4" s="4" t="s">
        <v>136</v>
      </c>
      <c r="E4" s="106" t="s">
        <v>72</v>
      </c>
      <c r="F4" s="2" t="s">
        <v>34</v>
      </c>
      <c r="G4" s="106" t="s">
        <v>135</v>
      </c>
      <c r="H4" s="106" t="s">
        <v>137</v>
      </c>
      <c r="N4" s="181" t="s">
        <v>45</v>
      </c>
      <c r="O4" s="222" t="s">
        <v>170</v>
      </c>
      <c r="P4" s="222" t="s">
        <v>70</v>
      </c>
    </row>
    <row r="5" spans="1:16">
      <c r="A5" s="107" t="s">
        <v>21</v>
      </c>
      <c r="B5" s="4" t="s">
        <v>72</v>
      </c>
      <c r="C5" s="108"/>
      <c r="D5" s="108"/>
      <c r="E5" s="108"/>
      <c r="F5" s="108"/>
      <c r="G5" s="108"/>
      <c r="H5" s="108"/>
      <c r="N5" s="181" t="s">
        <v>47</v>
      </c>
      <c r="O5" s="4" t="s">
        <v>65</v>
      </c>
      <c r="P5" s="4" t="s">
        <v>302</v>
      </c>
    </row>
    <row r="6" spans="1:16">
      <c r="A6" s="107" t="s">
        <v>9</v>
      </c>
      <c r="B6" s="109" t="s">
        <v>25</v>
      </c>
      <c r="C6" s="109" t="s">
        <v>24</v>
      </c>
      <c r="D6" s="109" t="s">
        <v>146</v>
      </c>
      <c r="E6" s="109" t="s">
        <v>25</v>
      </c>
      <c r="F6" s="109" t="s">
        <v>146</v>
      </c>
      <c r="G6" s="109" t="s">
        <v>26</v>
      </c>
      <c r="H6" s="109" t="s">
        <v>24</v>
      </c>
      <c r="N6" s="181" t="s">
        <v>46</v>
      </c>
      <c r="O6" s="4" t="s">
        <v>66</v>
      </c>
      <c r="P6" s="4" t="s">
        <v>69</v>
      </c>
    </row>
    <row r="7" spans="1:16">
      <c r="A7" s="107" t="s">
        <v>10</v>
      </c>
      <c r="B7" s="108"/>
      <c r="C7" s="108"/>
      <c r="D7" s="108"/>
      <c r="E7" s="109" t="s">
        <v>62</v>
      </c>
      <c r="F7" s="108"/>
      <c r="G7" s="108"/>
      <c r="H7" s="108"/>
      <c r="N7" s="181" t="s">
        <v>35</v>
      </c>
      <c r="O7" s="2" t="s">
        <v>155</v>
      </c>
    </row>
    <row r="8" spans="1:16">
      <c r="A8" s="130" t="s">
        <v>11</v>
      </c>
      <c r="B8" s="111"/>
      <c r="C8" s="335" t="s">
        <v>278</v>
      </c>
      <c r="D8" s="110" t="s">
        <v>278</v>
      </c>
      <c r="E8" s="110" t="s">
        <v>278</v>
      </c>
      <c r="F8" s="110" t="s">
        <v>278</v>
      </c>
      <c r="G8" s="110" t="s">
        <v>36</v>
      </c>
      <c r="H8" s="111"/>
      <c r="N8" s="181" t="s">
        <v>36</v>
      </c>
      <c r="O8" s="2" t="s">
        <v>317</v>
      </c>
      <c r="P8" s="2" t="s">
        <v>167</v>
      </c>
    </row>
    <row r="9" spans="1:16">
      <c r="A9" s="131"/>
      <c r="B9" s="111"/>
      <c r="C9" s="132"/>
      <c r="D9" s="105"/>
      <c r="E9" s="105"/>
      <c r="F9" s="105"/>
      <c r="G9" s="105"/>
      <c r="H9" s="111"/>
      <c r="N9" s="181" t="s">
        <v>34</v>
      </c>
      <c r="O9" s="2" t="s">
        <v>303</v>
      </c>
    </row>
    <row r="10" spans="1:16" ht="12.75" thickBot="1">
      <c r="A10" s="294"/>
      <c r="B10" s="376"/>
      <c r="C10" s="132"/>
      <c r="D10" s="295"/>
      <c r="E10" s="105"/>
      <c r="F10" s="105"/>
      <c r="G10" s="105"/>
      <c r="H10" s="376"/>
      <c r="N10" s="181" t="s">
        <v>72</v>
      </c>
      <c r="O10" s="2" t="s">
        <v>165</v>
      </c>
    </row>
    <row r="11" spans="1:16">
      <c r="A11" s="100"/>
      <c r="B11" s="103">
        <v>8</v>
      </c>
      <c r="C11" s="101">
        <v>9</v>
      </c>
      <c r="D11" s="103">
        <v>10</v>
      </c>
      <c r="E11" s="133">
        <v>11</v>
      </c>
      <c r="F11" s="136" t="s">
        <v>233</v>
      </c>
      <c r="G11" s="136" t="s">
        <v>234</v>
      </c>
      <c r="H11" s="103">
        <v>14</v>
      </c>
      <c r="J11" s="190" t="s">
        <v>292</v>
      </c>
      <c r="K11" s="40"/>
      <c r="L11" s="40"/>
      <c r="M11" s="40"/>
      <c r="N11" s="181" t="s">
        <v>137</v>
      </c>
      <c r="O11" s="2" t="s">
        <v>154</v>
      </c>
      <c r="P11" s="2" t="s">
        <v>76</v>
      </c>
    </row>
    <row r="12" spans="1:16">
      <c r="A12" s="104" t="s">
        <v>7</v>
      </c>
      <c r="B12" s="106" t="s">
        <v>137</v>
      </c>
      <c r="C12" s="106" t="s">
        <v>72</v>
      </c>
      <c r="D12" s="4" t="s">
        <v>135</v>
      </c>
      <c r="E12" s="106" t="s">
        <v>36</v>
      </c>
      <c r="F12" s="4" t="s">
        <v>35</v>
      </c>
      <c r="G12" s="106" t="s">
        <v>36</v>
      </c>
      <c r="H12" s="106" t="s">
        <v>136</v>
      </c>
      <c r="J12" s="2" t="s">
        <v>290</v>
      </c>
      <c r="N12" s="181" t="s">
        <v>306</v>
      </c>
      <c r="O12" s="2" t="s">
        <v>173</v>
      </c>
      <c r="P12" s="2" t="s">
        <v>70</v>
      </c>
    </row>
    <row r="13" spans="1:16" ht="12.75" thickBot="1">
      <c r="A13" s="107" t="s">
        <v>21</v>
      </c>
      <c r="B13" s="106" t="s">
        <v>34</v>
      </c>
      <c r="C13" s="120"/>
      <c r="D13" s="108"/>
      <c r="E13" s="108"/>
      <c r="F13" s="108"/>
      <c r="G13" s="108"/>
      <c r="H13" s="108"/>
      <c r="J13" s="2" t="s">
        <v>291</v>
      </c>
      <c r="N13" s="181" t="s">
        <v>307</v>
      </c>
      <c r="O13" s="2" t="s">
        <v>163</v>
      </c>
      <c r="P13" s="2" t="s">
        <v>167</v>
      </c>
    </row>
    <row r="14" spans="1:16">
      <c r="A14" s="107" t="s">
        <v>9</v>
      </c>
      <c r="B14" s="109" t="s">
        <v>24</v>
      </c>
      <c r="C14" s="109" t="s">
        <v>26</v>
      </c>
      <c r="D14" s="109" t="s">
        <v>25</v>
      </c>
      <c r="E14" s="109" t="s">
        <v>24</v>
      </c>
      <c r="F14" s="109" t="s">
        <v>26</v>
      </c>
      <c r="G14" s="109" t="s">
        <v>146</v>
      </c>
      <c r="H14" s="109" t="s">
        <v>25</v>
      </c>
      <c r="N14" s="181" t="s">
        <v>136</v>
      </c>
      <c r="O14" s="2" t="s">
        <v>168</v>
      </c>
    </row>
    <row r="15" spans="1:16">
      <c r="A15" s="107" t="s">
        <v>10</v>
      </c>
      <c r="B15" s="108"/>
      <c r="C15" s="108"/>
      <c r="D15" s="108"/>
      <c r="E15" s="109" t="s">
        <v>136</v>
      </c>
      <c r="F15" s="97"/>
      <c r="G15" s="97"/>
      <c r="H15" s="108"/>
    </row>
    <row r="16" spans="1:16">
      <c r="A16" s="100" t="s">
        <v>11</v>
      </c>
      <c r="B16" s="111"/>
      <c r="C16" s="105" t="s">
        <v>136</v>
      </c>
      <c r="D16" s="105"/>
      <c r="E16" s="105"/>
      <c r="F16" s="111"/>
      <c r="G16" s="105" t="s">
        <v>247</v>
      </c>
      <c r="H16" s="111"/>
    </row>
    <row r="17" spans="1:12" ht="15">
      <c r="A17" s="100"/>
      <c r="B17" s="111"/>
      <c r="C17" s="105"/>
      <c r="D17" s="105"/>
      <c r="E17" s="105"/>
      <c r="F17" s="111"/>
      <c r="G17" s="111"/>
      <c r="H17" s="111"/>
      <c r="J17"/>
      <c r="K17" s="4"/>
      <c r="L17" s="4"/>
    </row>
    <row r="18" spans="1:12" ht="12.75" thickBot="1">
      <c r="A18" s="377"/>
      <c r="B18" s="376"/>
      <c r="C18" s="320"/>
      <c r="D18" s="295"/>
      <c r="E18" s="295"/>
      <c r="F18" s="297"/>
      <c r="G18" s="297"/>
      <c r="H18" s="376"/>
      <c r="J18" s="181"/>
      <c r="K18" s="222"/>
      <c r="L18" s="222"/>
    </row>
    <row r="19" spans="1:12">
      <c r="A19" s="100"/>
      <c r="B19" s="103">
        <v>15</v>
      </c>
      <c r="C19" s="102">
        <v>16</v>
      </c>
      <c r="D19" s="103">
        <v>17</v>
      </c>
      <c r="E19" s="103">
        <v>18</v>
      </c>
      <c r="F19" s="103">
        <v>19</v>
      </c>
      <c r="G19" s="103">
        <v>20</v>
      </c>
      <c r="H19" s="103">
        <v>21</v>
      </c>
      <c r="J19" s="181"/>
      <c r="K19" s="4"/>
      <c r="L19" s="4"/>
    </row>
    <row r="20" spans="1:12">
      <c r="A20" s="104" t="s">
        <v>7</v>
      </c>
      <c r="B20" s="106" t="s">
        <v>136</v>
      </c>
      <c r="C20" s="106" t="s">
        <v>35</v>
      </c>
      <c r="D20" s="105" t="s">
        <v>34</v>
      </c>
      <c r="E20" s="106" t="s">
        <v>135</v>
      </c>
      <c r="F20" s="106" t="s">
        <v>136</v>
      </c>
      <c r="G20" s="106" t="s">
        <v>137</v>
      </c>
      <c r="H20" s="106" t="s">
        <v>135</v>
      </c>
      <c r="J20" s="181"/>
    </row>
    <row r="21" spans="1:12" ht="12.75" thickBot="1">
      <c r="A21" s="107" t="s">
        <v>21</v>
      </c>
      <c r="B21" s="106" t="s">
        <v>135</v>
      </c>
      <c r="C21" s="120"/>
      <c r="D21" s="108"/>
      <c r="E21" s="108"/>
      <c r="F21" s="108"/>
      <c r="G21" s="108"/>
      <c r="H21" s="108"/>
    </row>
    <row r="22" spans="1:12">
      <c r="A22" s="107" t="s">
        <v>9</v>
      </c>
      <c r="B22" s="109" t="s">
        <v>25</v>
      </c>
      <c r="C22" s="109" t="s">
        <v>146</v>
      </c>
      <c r="D22" s="109" t="s">
        <v>24</v>
      </c>
      <c r="E22" s="109" t="s">
        <v>25</v>
      </c>
      <c r="F22" s="109" t="s">
        <v>24</v>
      </c>
      <c r="G22" s="105" t="s">
        <v>26</v>
      </c>
      <c r="H22" s="105" t="s">
        <v>146</v>
      </c>
    </row>
    <row r="23" spans="1:12">
      <c r="A23" s="107" t="s">
        <v>10</v>
      </c>
      <c r="B23" s="108"/>
      <c r="C23" s="108"/>
      <c r="D23" s="108"/>
      <c r="E23" s="109" t="s">
        <v>135</v>
      </c>
      <c r="F23" s="97"/>
      <c r="G23" s="97"/>
      <c r="H23" s="108"/>
    </row>
    <row r="24" spans="1:12">
      <c r="A24" s="100" t="s">
        <v>11</v>
      </c>
      <c r="B24" s="111"/>
      <c r="C24" s="57"/>
      <c r="D24" s="57"/>
      <c r="E24" s="57" t="s">
        <v>364</v>
      </c>
      <c r="F24" s="57" t="s">
        <v>364</v>
      </c>
      <c r="G24" s="57" t="s">
        <v>364</v>
      </c>
      <c r="H24" s="111"/>
    </row>
    <row r="25" spans="1:12">
      <c r="A25" s="131"/>
      <c r="B25" s="111"/>
      <c r="C25" s="14"/>
      <c r="D25" s="14"/>
      <c r="E25" s="14"/>
      <c r="F25" s="14" t="s">
        <v>365</v>
      </c>
      <c r="G25" s="14" t="s">
        <v>365</v>
      </c>
      <c r="H25" s="111"/>
    </row>
    <row r="26" spans="1:12" ht="12.75" thickBot="1">
      <c r="A26" s="378"/>
      <c r="B26" s="296"/>
      <c r="C26" s="105"/>
      <c r="D26" s="105"/>
      <c r="E26" s="295"/>
      <c r="F26" s="295"/>
      <c r="G26" s="295"/>
      <c r="H26" s="376"/>
    </row>
    <row r="27" spans="1:12">
      <c r="A27" s="100"/>
      <c r="B27" s="103">
        <v>22</v>
      </c>
      <c r="C27" s="136">
        <v>23</v>
      </c>
      <c r="D27" s="136">
        <v>24</v>
      </c>
      <c r="E27" s="102">
        <v>25</v>
      </c>
      <c r="F27" s="102">
        <v>26</v>
      </c>
      <c r="G27" s="102" t="s">
        <v>257</v>
      </c>
      <c r="H27" s="103">
        <v>28</v>
      </c>
    </row>
    <row r="28" spans="1:12">
      <c r="A28" s="104" t="s">
        <v>7</v>
      </c>
      <c r="B28" s="106" t="s">
        <v>135</v>
      </c>
      <c r="C28" s="106" t="s">
        <v>137</v>
      </c>
      <c r="D28" s="106" t="s">
        <v>136</v>
      </c>
      <c r="E28" s="106" t="s">
        <v>34</v>
      </c>
      <c r="F28" s="106" t="s">
        <v>137</v>
      </c>
      <c r="G28" s="106" t="s">
        <v>34</v>
      </c>
      <c r="H28" s="106" t="s">
        <v>72</v>
      </c>
    </row>
    <row r="29" spans="1:12">
      <c r="A29" s="107" t="s">
        <v>21</v>
      </c>
      <c r="B29" s="106" t="s">
        <v>36</v>
      </c>
      <c r="C29" s="135"/>
      <c r="D29" s="135"/>
      <c r="E29" s="108"/>
      <c r="F29" s="108"/>
      <c r="G29" s="108"/>
      <c r="H29" s="108"/>
    </row>
    <row r="30" spans="1:12">
      <c r="A30" s="107" t="s">
        <v>9</v>
      </c>
      <c r="B30" s="109" t="s">
        <v>146</v>
      </c>
      <c r="C30" s="109" t="s">
        <v>146</v>
      </c>
      <c r="D30" s="109" t="s">
        <v>25</v>
      </c>
      <c r="E30" s="109" t="s">
        <v>26</v>
      </c>
      <c r="F30" s="109" t="s">
        <v>146</v>
      </c>
      <c r="G30" s="105" t="s">
        <v>25</v>
      </c>
      <c r="H30" s="105" t="s">
        <v>26</v>
      </c>
    </row>
    <row r="31" spans="1:12">
      <c r="A31" s="107" t="s">
        <v>10</v>
      </c>
      <c r="B31" s="108"/>
      <c r="C31" s="135"/>
      <c r="D31" s="135"/>
      <c r="E31" s="109" t="s">
        <v>204</v>
      </c>
      <c r="F31" s="97"/>
      <c r="G31" s="97"/>
      <c r="H31" s="108"/>
    </row>
    <row r="32" spans="1:12">
      <c r="A32" s="100" t="s">
        <v>11</v>
      </c>
      <c r="B32" s="111"/>
      <c r="C32" s="57"/>
      <c r="D32" s="57"/>
      <c r="E32" s="57"/>
      <c r="F32" s="57" t="s">
        <v>36</v>
      </c>
      <c r="G32" s="57" t="s">
        <v>36</v>
      </c>
      <c r="H32" s="111"/>
    </row>
    <row r="33" spans="1:8" ht="12.75" thickBot="1">
      <c r="A33" s="100"/>
      <c r="B33" s="111"/>
      <c r="C33" s="105"/>
      <c r="D33" s="105"/>
      <c r="E33" s="105"/>
      <c r="F33" s="105"/>
      <c r="G33" s="86"/>
      <c r="H33" s="376"/>
    </row>
    <row r="34" spans="1:8" ht="12.75" thickBot="1">
      <c r="A34" s="294"/>
      <c r="B34" s="297"/>
      <c r="C34" s="295"/>
      <c r="D34" s="295"/>
      <c r="E34" s="295"/>
      <c r="F34" s="295"/>
      <c r="G34" s="297"/>
      <c r="H34" s="297"/>
    </row>
    <row r="35" spans="1:8">
      <c r="A35" s="100"/>
      <c r="B35" s="103">
        <v>29</v>
      </c>
      <c r="C35" s="102">
        <v>30</v>
      </c>
      <c r="D35" s="103">
        <v>31</v>
      </c>
      <c r="E35" s="126"/>
      <c r="F35" s="121"/>
      <c r="G35" s="121"/>
      <c r="H35" s="122"/>
    </row>
    <row r="36" spans="1:8">
      <c r="A36" s="104" t="s">
        <v>7</v>
      </c>
      <c r="B36" s="106" t="s">
        <v>72</v>
      </c>
      <c r="C36" s="106" t="s">
        <v>137</v>
      </c>
      <c r="D36" s="105" t="s">
        <v>135</v>
      </c>
      <c r="E36" s="127"/>
      <c r="F36" s="4"/>
      <c r="G36" s="4"/>
      <c r="H36" s="112"/>
    </row>
    <row r="37" spans="1:8" ht="12.75" thickBot="1">
      <c r="A37" s="107" t="s">
        <v>21</v>
      </c>
      <c r="B37" s="106" t="s">
        <v>136</v>
      </c>
      <c r="C37" s="120"/>
      <c r="D37" s="108"/>
      <c r="E37" s="127"/>
      <c r="F37" s="4"/>
      <c r="G37" s="4"/>
      <c r="H37" s="112"/>
    </row>
    <row r="38" spans="1:8">
      <c r="A38" s="107" t="s">
        <v>9</v>
      </c>
      <c r="B38" s="109" t="s">
        <v>26</v>
      </c>
      <c r="C38" s="109" t="s">
        <v>24</v>
      </c>
      <c r="D38" s="109" t="s">
        <v>25</v>
      </c>
      <c r="E38" s="127"/>
      <c r="F38" s="4"/>
      <c r="G38" s="4"/>
      <c r="H38" s="112"/>
    </row>
    <row r="39" spans="1:8">
      <c r="A39" s="107" t="s">
        <v>10</v>
      </c>
      <c r="B39" s="108"/>
      <c r="C39" s="108"/>
      <c r="D39" s="108"/>
      <c r="E39" s="127"/>
      <c r="F39" s="4"/>
      <c r="G39" s="4"/>
      <c r="H39" s="112"/>
    </row>
    <row r="40" spans="1:8">
      <c r="A40" s="100" t="s">
        <v>11</v>
      </c>
      <c r="B40" s="111"/>
      <c r="C40" s="363" t="s">
        <v>218</v>
      </c>
      <c r="D40" s="363" t="s">
        <v>146</v>
      </c>
      <c r="E40" s="35"/>
      <c r="H40" s="112"/>
    </row>
    <row r="41" spans="1:8">
      <c r="A41" s="131"/>
      <c r="B41" s="111"/>
      <c r="C41" s="40" t="s">
        <v>35</v>
      </c>
      <c r="D41" s="14" t="s">
        <v>35</v>
      </c>
      <c r="E41" s="35"/>
      <c r="H41" s="112"/>
    </row>
    <row r="42" spans="1:8">
      <c r="A42" s="131"/>
      <c r="B42" s="111"/>
      <c r="C42" s="40" t="s">
        <v>36</v>
      </c>
      <c r="D42" s="14"/>
      <c r="E42" s="35"/>
      <c r="H42" s="112"/>
    </row>
    <row r="43" spans="1:8" ht="12.75" thickBot="1">
      <c r="A43" s="378"/>
      <c r="B43" s="296"/>
      <c r="C43" s="399" t="s">
        <v>231</v>
      </c>
      <c r="D43" s="295"/>
      <c r="E43" s="326"/>
      <c r="F43" s="321"/>
      <c r="G43" s="321"/>
      <c r="H43" s="320"/>
    </row>
    <row r="44" spans="1:8">
      <c r="A44" s="37" t="s">
        <v>17</v>
      </c>
      <c r="H44" s="125" t="s">
        <v>371</v>
      </c>
    </row>
    <row r="45" spans="1:8">
      <c r="A45" s="2" t="s">
        <v>269</v>
      </c>
    </row>
    <row r="46" spans="1:8">
      <c r="A46" s="2" t="s">
        <v>22</v>
      </c>
      <c r="H46" s="125"/>
    </row>
    <row r="47" spans="1:8">
      <c r="A47" s="2" t="s">
        <v>270</v>
      </c>
      <c r="G47" s="40" t="s">
        <v>13</v>
      </c>
    </row>
    <row r="49" spans="1:16">
      <c r="A49" s="39"/>
    </row>
    <row r="50" spans="1:16" ht="13.35" customHeight="1">
      <c r="A50" s="178" t="s">
        <v>265</v>
      </c>
      <c r="B50" s="51"/>
      <c r="C50" s="51"/>
      <c r="D50" s="51"/>
      <c r="E50" s="51"/>
      <c r="F50" s="51"/>
      <c r="G50" s="51"/>
      <c r="H50" s="51"/>
      <c r="I50" s="3"/>
      <c r="J50" s="4"/>
      <c r="K50" s="4"/>
    </row>
    <row r="51" spans="1:16" ht="12.75" thickBot="1">
      <c r="A51" s="51" t="s">
        <v>141</v>
      </c>
      <c r="B51" s="51"/>
      <c r="C51" s="51"/>
      <c r="D51" s="51"/>
      <c r="E51" s="51"/>
      <c r="F51" s="51"/>
      <c r="G51" s="51"/>
      <c r="H51" s="51"/>
    </row>
    <row r="52" spans="1:16" ht="15">
      <c r="A52" s="75" t="s">
        <v>14</v>
      </c>
      <c r="B52" s="81"/>
      <c r="C52" s="175" t="s">
        <v>1</v>
      </c>
      <c r="D52" s="175" t="s">
        <v>2</v>
      </c>
      <c r="E52" s="175" t="s">
        <v>3</v>
      </c>
      <c r="F52" s="175" t="s">
        <v>4</v>
      </c>
      <c r="G52" s="175" t="s">
        <v>5</v>
      </c>
      <c r="H52" s="51"/>
    </row>
    <row r="53" spans="1:16" ht="15">
      <c r="A53" s="75"/>
      <c r="B53" s="173" t="s">
        <v>32</v>
      </c>
      <c r="C53" s="59" t="s">
        <v>204</v>
      </c>
      <c r="D53" s="174"/>
      <c r="E53" s="174"/>
      <c r="F53" s="174"/>
      <c r="G53" s="174"/>
      <c r="H53" s="51"/>
    </row>
    <row r="54" spans="1:16" ht="15">
      <c r="A54" s="39"/>
      <c r="B54" s="173" t="s">
        <v>15</v>
      </c>
      <c r="C54" s="170" t="s">
        <v>35</v>
      </c>
      <c r="D54" s="170"/>
      <c r="E54" s="170" t="s">
        <v>34</v>
      </c>
      <c r="F54" s="170" t="s">
        <v>72</v>
      </c>
      <c r="G54" s="170" t="s">
        <v>137</v>
      </c>
    </row>
    <row r="55" spans="1:16" ht="15">
      <c r="A55" s="39"/>
      <c r="B55" s="231"/>
      <c r="C55" s="233" t="s">
        <v>36</v>
      </c>
      <c r="D55" s="233"/>
      <c r="E55" s="233"/>
      <c r="F55" s="233" t="s">
        <v>136</v>
      </c>
      <c r="G55" s="233" t="s">
        <v>135</v>
      </c>
    </row>
    <row r="57" spans="1:16" ht="15">
      <c r="A57"/>
      <c r="B57" s="370" t="s">
        <v>53</v>
      </c>
      <c r="C57" s="370" t="s">
        <v>321</v>
      </c>
      <c r="D57" s="370" t="s">
        <v>52</v>
      </c>
      <c r="E57" s="370" t="s">
        <v>58</v>
      </c>
      <c r="F57" s="370" t="s">
        <v>321</v>
      </c>
      <c r="G57" s="370" t="s">
        <v>52</v>
      </c>
      <c r="H57" s="370" t="s">
        <v>74</v>
      </c>
      <c r="I57" s="370" t="s">
        <v>321</v>
      </c>
      <c r="J57" s="370" t="s">
        <v>52</v>
      </c>
      <c r="K57" s="370" t="s">
        <v>54</v>
      </c>
      <c r="L57" s="370" t="s">
        <v>321</v>
      </c>
      <c r="M57" s="370" t="s">
        <v>52</v>
      </c>
      <c r="N57"/>
      <c r="O57"/>
      <c r="P57"/>
    </row>
    <row r="58" spans="1:16" ht="15">
      <c r="A58" s="371" t="s">
        <v>73</v>
      </c>
      <c r="B58" s="181">
        <v>5</v>
      </c>
      <c r="C58" s="181">
        <f>COUNTIF(C4:F37,"Sears")</f>
        <v>2</v>
      </c>
      <c r="D58" s="181">
        <f>SUM(B58:C58)</f>
        <v>7</v>
      </c>
      <c r="E58" s="4">
        <v>1</v>
      </c>
      <c r="F58" s="181">
        <v>1</v>
      </c>
      <c r="G58" s="4">
        <f>SUM(E58:F58)</f>
        <v>2</v>
      </c>
      <c r="H58" s="4">
        <v>2</v>
      </c>
      <c r="I58" s="181">
        <f>COUNTIF(G4:G36,"Sears")</f>
        <v>0</v>
      </c>
      <c r="J58" s="229">
        <f>SUM(H58:I58)</f>
        <v>2</v>
      </c>
      <c r="K58" s="181">
        <v>1</v>
      </c>
      <c r="L58" s="181">
        <v>1</v>
      </c>
      <c r="M58" s="181">
        <f>SUM(K58:L58)</f>
        <v>2</v>
      </c>
      <c r="N58"/>
      <c r="O58"/>
      <c r="P58" s="4"/>
    </row>
    <row r="59" spans="1:16" ht="15">
      <c r="A59" s="371" t="s">
        <v>48</v>
      </c>
      <c r="B59" s="181">
        <v>2</v>
      </c>
      <c r="C59" s="181">
        <f>COUNTIF(C4:F37,"Thompson")</f>
        <v>4</v>
      </c>
      <c r="D59" s="181">
        <f t="shared" ref="D59:D65" si="0">SUM(B59:C59)</f>
        <v>6</v>
      </c>
      <c r="E59" s="4">
        <v>1</v>
      </c>
      <c r="F59" s="181">
        <v>1</v>
      </c>
      <c r="G59" s="4">
        <f t="shared" ref="G59:G65" si="1">SUM(E59:F59)</f>
        <v>2</v>
      </c>
      <c r="H59" s="4">
        <v>1</v>
      </c>
      <c r="I59" s="181">
        <f>COUNTIF(G4:G36,"Thompson")</f>
        <v>1</v>
      </c>
      <c r="J59" s="4">
        <f t="shared" ref="J59:J65" si="2">SUM(H59:I59)</f>
        <v>2</v>
      </c>
      <c r="K59" s="181">
        <v>2</v>
      </c>
      <c r="L59" s="181"/>
      <c r="M59" s="181">
        <f t="shared" ref="M59:M65" si="3">SUM(K59:L59)</f>
        <v>2</v>
      </c>
      <c r="N59"/>
      <c r="O59"/>
      <c r="P59" s="4"/>
    </row>
    <row r="60" spans="1:16" ht="15">
      <c r="A60" s="371" t="s">
        <v>49</v>
      </c>
      <c r="B60" s="181">
        <v>4</v>
      </c>
      <c r="C60" s="181">
        <f>COUNTIF(C4:F37,"Miller")</f>
        <v>2</v>
      </c>
      <c r="D60" s="181">
        <f t="shared" si="0"/>
        <v>6</v>
      </c>
      <c r="E60" s="4">
        <v>1</v>
      </c>
      <c r="F60" s="181"/>
      <c r="G60" s="4">
        <f t="shared" si="1"/>
        <v>1</v>
      </c>
      <c r="H60" s="4">
        <v>3</v>
      </c>
      <c r="I60" s="181">
        <f>COUNTIF(G4:G36,"Miller")</f>
        <v>0</v>
      </c>
      <c r="J60" s="4">
        <f t="shared" si="2"/>
        <v>3</v>
      </c>
      <c r="K60" s="181">
        <v>1</v>
      </c>
      <c r="L60" s="181"/>
      <c r="M60" s="379">
        <f t="shared" si="3"/>
        <v>1</v>
      </c>
      <c r="N60"/>
      <c r="O60"/>
      <c r="P60" s="4"/>
    </row>
    <row r="61" spans="1:16" ht="15">
      <c r="A61" s="371" t="s">
        <v>50</v>
      </c>
      <c r="B61" s="181">
        <v>5</v>
      </c>
      <c r="C61" s="181">
        <f>COUNTIF(C4:F37,"Philbrick")</f>
        <v>2</v>
      </c>
      <c r="D61" s="181">
        <f t="shared" si="0"/>
        <v>7</v>
      </c>
      <c r="E61" s="4">
        <v>1</v>
      </c>
      <c r="F61" s="181">
        <v>1</v>
      </c>
      <c r="G61" s="229">
        <f t="shared" si="1"/>
        <v>2</v>
      </c>
      <c r="H61" s="4">
        <v>0</v>
      </c>
      <c r="I61" s="181">
        <f>COUNTIF(G4:G36,"Philbrick")-1</f>
        <v>2</v>
      </c>
      <c r="J61" s="229">
        <f t="shared" si="2"/>
        <v>2</v>
      </c>
      <c r="K61" s="181">
        <v>2</v>
      </c>
      <c r="L61" s="181"/>
      <c r="M61" s="181">
        <f t="shared" si="3"/>
        <v>2</v>
      </c>
      <c r="N61"/>
      <c r="O61"/>
      <c r="P61" s="4"/>
    </row>
    <row r="62" spans="1:16" ht="15">
      <c r="A62" s="371" t="s">
        <v>311</v>
      </c>
      <c r="B62" s="181">
        <v>3</v>
      </c>
      <c r="C62" s="4">
        <f>COUNTIF(C4:F37,"Jones")</f>
        <v>3</v>
      </c>
      <c r="D62" s="181">
        <f t="shared" si="0"/>
        <v>6</v>
      </c>
      <c r="E62" s="4">
        <v>2</v>
      </c>
      <c r="F62" s="4"/>
      <c r="G62" s="229">
        <f t="shared" si="1"/>
        <v>2</v>
      </c>
      <c r="H62" s="4">
        <v>1</v>
      </c>
      <c r="I62" s="4">
        <f>COUNTIF(G4:G36,"Jones")</f>
        <v>1</v>
      </c>
      <c r="J62" s="4">
        <f t="shared" si="2"/>
        <v>2</v>
      </c>
      <c r="K62" s="181">
        <v>0</v>
      </c>
      <c r="L62" s="181">
        <v>1</v>
      </c>
      <c r="M62" s="379">
        <f t="shared" si="3"/>
        <v>1</v>
      </c>
      <c r="N62"/>
      <c r="O62"/>
      <c r="P62" s="4"/>
    </row>
    <row r="63" spans="1:16" ht="15">
      <c r="A63" s="371" t="s">
        <v>312</v>
      </c>
      <c r="B63" s="181">
        <v>5</v>
      </c>
      <c r="C63" s="4">
        <f>COUNTIF(C4:F37,"Moezzi")</f>
        <v>0</v>
      </c>
      <c r="D63" s="181">
        <f t="shared" si="0"/>
        <v>5</v>
      </c>
      <c r="E63" s="4">
        <v>2</v>
      </c>
      <c r="F63" s="4"/>
      <c r="G63" s="4">
        <f t="shared" si="1"/>
        <v>2</v>
      </c>
      <c r="H63" s="4">
        <v>1</v>
      </c>
      <c r="I63" s="4">
        <f>COUNTIF(G4:G36,"Moezzi")</f>
        <v>0</v>
      </c>
      <c r="J63" s="229">
        <f t="shared" si="2"/>
        <v>1</v>
      </c>
      <c r="K63" s="181">
        <v>1</v>
      </c>
      <c r="L63" s="181"/>
      <c r="M63" s="379">
        <f t="shared" si="3"/>
        <v>1</v>
      </c>
      <c r="N63"/>
      <c r="O63"/>
      <c r="P63" s="4"/>
    </row>
    <row r="64" spans="1:16" ht="15">
      <c r="A64" s="371" t="s">
        <v>313</v>
      </c>
      <c r="B64" s="181">
        <v>4</v>
      </c>
      <c r="C64" s="4">
        <f>COUNTIF(C4:F37,"Tung")-1</f>
        <v>3</v>
      </c>
      <c r="D64" s="181">
        <f t="shared" si="0"/>
        <v>7</v>
      </c>
      <c r="E64" s="4">
        <v>1</v>
      </c>
      <c r="F64" s="4">
        <v>1</v>
      </c>
      <c r="G64" s="4">
        <f t="shared" si="1"/>
        <v>2</v>
      </c>
      <c r="H64" s="4">
        <v>1</v>
      </c>
      <c r="I64" s="4">
        <f>COUNTIF(G4:G36,"Tung")</f>
        <v>1</v>
      </c>
      <c r="J64" s="4">
        <f t="shared" si="2"/>
        <v>2</v>
      </c>
      <c r="K64" s="181">
        <v>1</v>
      </c>
      <c r="L64" s="181">
        <v>1</v>
      </c>
      <c r="M64" s="181">
        <f t="shared" si="3"/>
        <v>2</v>
      </c>
      <c r="N64"/>
      <c r="O64"/>
      <c r="P64" s="4"/>
    </row>
    <row r="65" spans="1:16" ht="15.75" thickBot="1">
      <c r="A65" s="371" t="s">
        <v>314</v>
      </c>
      <c r="B65" s="181">
        <v>2</v>
      </c>
      <c r="C65" s="4">
        <f>COUNTIF(C4:F37,"Wen")-1</f>
        <v>4</v>
      </c>
      <c r="D65" s="181">
        <f t="shared" si="0"/>
        <v>6</v>
      </c>
      <c r="E65" s="4">
        <v>0</v>
      </c>
      <c r="F65" s="4">
        <v>1</v>
      </c>
      <c r="G65" s="229">
        <f t="shared" si="1"/>
        <v>1</v>
      </c>
      <c r="H65" s="4">
        <v>1</v>
      </c>
      <c r="I65" s="4">
        <f>COUNTIF(G4:G36,"Wen")</f>
        <v>0</v>
      </c>
      <c r="J65" s="229">
        <f t="shared" si="2"/>
        <v>1</v>
      </c>
      <c r="K65" s="181">
        <v>1</v>
      </c>
      <c r="L65" s="181">
        <v>1</v>
      </c>
      <c r="M65" s="181">
        <f t="shared" si="3"/>
        <v>2</v>
      </c>
      <c r="N65"/>
      <c r="O65"/>
      <c r="P65" s="4"/>
    </row>
    <row r="66" spans="1:16" ht="15.75" thickBot="1">
      <c r="A66" s="185"/>
      <c r="B66" s="370">
        <f t="shared" ref="B66:M66" si="4">SUM(B58:B65)</f>
        <v>30</v>
      </c>
      <c r="C66" s="372">
        <f t="shared" si="4"/>
        <v>20</v>
      </c>
      <c r="D66" s="370">
        <f t="shared" si="4"/>
        <v>50</v>
      </c>
      <c r="E66" s="370">
        <f t="shared" si="4"/>
        <v>9</v>
      </c>
      <c r="F66" s="372">
        <f t="shared" si="4"/>
        <v>5</v>
      </c>
      <c r="G66" s="370">
        <f t="shared" si="4"/>
        <v>14</v>
      </c>
      <c r="H66" s="370">
        <f t="shared" si="4"/>
        <v>10</v>
      </c>
      <c r="I66" s="372">
        <f t="shared" si="4"/>
        <v>5</v>
      </c>
      <c r="J66" s="370">
        <f t="shared" si="4"/>
        <v>15</v>
      </c>
      <c r="K66" s="370">
        <f t="shared" si="4"/>
        <v>9</v>
      </c>
      <c r="L66" s="372">
        <f t="shared" si="4"/>
        <v>4</v>
      </c>
      <c r="M66" s="370">
        <f t="shared" si="4"/>
        <v>13</v>
      </c>
      <c r="N66"/>
      <c r="O66" s="4" t="s">
        <v>322</v>
      </c>
      <c r="P66" s="373">
        <f>SUM(C66,F66,I66,L66)</f>
        <v>34</v>
      </c>
    </row>
    <row r="67" spans="1:16" ht="15">
      <c r="A67" s="185"/>
      <c r="B67" s="181"/>
      <c r="C67" s="181"/>
      <c r="D67" s="181"/>
      <c r="E67"/>
      <c r="F67"/>
      <c r="G67"/>
      <c r="H67" s="181"/>
      <c r="I67" s="181"/>
      <c r="J67" s="181"/>
      <c r="K67"/>
      <c r="L67"/>
      <c r="M67"/>
      <c r="N67"/>
      <c r="O67"/>
      <c r="P67"/>
    </row>
    <row r="68" spans="1:16" ht="15">
      <c r="A68" s="185"/>
      <c r="B68" s="374" t="s">
        <v>53</v>
      </c>
      <c r="C68" s="375" t="s">
        <v>321</v>
      </c>
      <c r="D68" s="374" t="s">
        <v>52</v>
      </c>
      <c r="E68"/>
      <c r="F68"/>
      <c r="G68"/>
      <c r="H68" s="374" t="s">
        <v>54</v>
      </c>
      <c r="I68" s="375" t="s">
        <v>321</v>
      </c>
      <c r="J68" s="374" t="s">
        <v>52</v>
      </c>
      <c r="K68"/>
      <c r="L68"/>
      <c r="M68"/>
      <c r="N68"/>
      <c r="O68"/>
      <c r="P68"/>
    </row>
    <row r="69" spans="1:16" ht="15">
      <c r="A69" s="185" t="s">
        <v>44</v>
      </c>
      <c r="B69" s="181">
        <v>11</v>
      </c>
      <c r="C69" s="181">
        <f>COUNTIF(C6:G39,"Dieu")</f>
        <v>5</v>
      </c>
      <c r="D69" s="181">
        <f>SUM(B69:C69)</f>
        <v>16</v>
      </c>
      <c r="E69"/>
      <c r="F69"/>
      <c r="G69"/>
      <c r="H69" s="181">
        <v>2</v>
      </c>
      <c r="I69" s="181">
        <v>1</v>
      </c>
      <c r="J69" s="181">
        <f>SUM(H69:I69)</f>
        <v>3</v>
      </c>
      <c r="K69"/>
      <c r="L69"/>
      <c r="M69"/>
      <c r="N69"/>
      <c r="O69"/>
      <c r="P69"/>
    </row>
    <row r="70" spans="1:16" ht="15">
      <c r="A70" s="185" t="s">
        <v>45</v>
      </c>
      <c r="B70" s="181">
        <v>9</v>
      </c>
      <c r="C70" s="181">
        <f>COUNTIF(C6:G39,"Huynh")</f>
        <v>6</v>
      </c>
      <c r="D70" s="379">
        <f>SUM(B70:C70)</f>
        <v>15</v>
      </c>
      <c r="E70"/>
      <c r="F70"/>
      <c r="G70"/>
      <c r="H70" s="181">
        <v>3</v>
      </c>
      <c r="I70" s="181">
        <v>1</v>
      </c>
      <c r="J70" s="181">
        <f t="shared" ref="J70:J72" si="5">SUM(H70:I70)</f>
        <v>4</v>
      </c>
      <c r="K70"/>
      <c r="L70"/>
      <c r="M70"/>
      <c r="N70"/>
      <c r="O70"/>
      <c r="P70"/>
    </row>
    <row r="71" spans="1:16" ht="15">
      <c r="A71" s="185" t="s">
        <v>46</v>
      </c>
      <c r="B71" s="181">
        <v>11</v>
      </c>
      <c r="C71" s="2">
        <f>COUNTIF(C6:G39,"Mathew")</f>
        <v>5</v>
      </c>
      <c r="D71" s="181">
        <f t="shared" ref="D71:D72" si="6">SUM(B71:C71)</f>
        <v>16</v>
      </c>
      <c r="E71"/>
      <c r="F71"/>
      <c r="G71"/>
      <c r="H71" s="181">
        <v>2</v>
      </c>
      <c r="I71" s="181">
        <v>1</v>
      </c>
      <c r="J71" s="181">
        <f t="shared" si="5"/>
        <v>3</v>
      </c>
      <c r="K71"/>
      <c r="L71"/>
      <c r="M71"/>
      <c r="N71"/>
      <c r="O71"/>
      <c r="P71"/>
    </row>
    <row r="72" spans="1:16" ht="15">
      <c r="A72" s="185" t="s">
        <v>47</v>
      </c>
      <c r="B72" s="181">
        <v>10</v>
      </c>
      <c r="C72" s="181">
        <f>COUNTIF(C6:G39,"Noh")</f>
        <v>6</v>
      </c>
      <c r="D72" s="181">
        <f t="shared" si="6"/>
        <v>16</v>
      </c>
      <c r="E72"/>
      <c r="F72"/>
      <c r="G72"/>
      <c r="H72" s="4">
        <v>2</v>
      </c>
      <c r="I72" s="4">
        <v>1</v>
      </c>
      <c r="J72" s="181">
        <f t="shared" si="5"/>
        <v>3</v>
      </c>
      <c r="K72"/>
      <c r="L72"/>
      <c r="M72"/>
      <c r="N72"/>
      <c r="O72"/>
      <c r="P72"/>
    </row>
    <row r="75" spans="1:16" ht="15">
      <c r="A75"/>
      <c r="B75" s="4" t="s">
        <v>60</v>
      </c>
      <c r="C75" s="4" t="s">
        <v>61</v>
      </c>
      <c r="D75"/>
      <c r="E75"/>
      <c r="F75" s="370" t="s">
        <v>63</v>
      </c>
      <c r="G75" s="370" t="s">
        <v>321</v>
      </c>
      <c r="H75" s="4" t="s">
        <v>52</v>
      </c>
    </row>
    <row r="76" spans="1:16" ht="15">
      <c r="A76" s="181" t="s">
        <v>73</v>
      </c>
      <c r="B76"/>
      <c r="C76"/>
      <c r="D76"/>
      <c r="E76" s="181" t="s">
        <v>73</v>
      </c>
      <c r="F76" s="4">
        <v>1</v>
      </c>
      <c r="G76" s="4"/>
      <c r="H76">
        <f>SUM(F76:G76)</f>
        <v>1</v>
      </c>
    </row>
    <row r="77" spans="1:16" ht="15">
      <c r="A77" s="181" t="s">
        <v>48</v>
      </c>
      <c r="B77"/>
      <c r="C77"/>
      <c r="D77"/>
      <c r="E77" s="181" t="s">
        <v>48</v>
      </c>
      <c r="F77" s="4">
        <v>1</v>
      </c>
      <c r="G77" s="4"/>
      <c r="H77">
        <f t="shared" ref="H77:H83" si="7">SUM(F77:G77)</f>
        <v>1</v>
      </c>
    </row>
    <row r="78" spans="1:16" ht="15">
      <c r="A78" s="181" t="s">
        <v>49</v>
      </c>
      <c r="B78">
        <v>1</v>
      </c>
      <c r="C78"/>
      <c r="D78"/>
      <c r="E78" s="181" t="s">
        <v>49</v>
      </c>
      <c r="F78" s="4">
        <v>1</v>
      </c>
      <c r="G78" s="4"/>
      <c r="H78">
        <f t="shared" si="7"/>
        <v>1</v>
      </c>
    </row>
    <row r="79" spans="1:16" ht="15">
      <c r="A79" s="181" t="s">
        <v>50</v>
      </c>
      <c r="B79"/>
      <c r="C79"/>
      <c r="D79"/>
      <c r="E79" s="181" t="s">
        <v>50</v>
      </c>
      <c r="F79" s="4">
        <v>1</v>
      </c>
      <c r="G79" s="4"/>
      <c r="H79">
        <f t="shared" si="7"/>
        <v>1</v>
      </c>
    </row>
    <row r="80" spans="1:16" ht="15">
      <c r="A80" s="181" t="s">
        <v>311</v>
      </c>
      <c r="B80"/>
      <c r="C80"/>
      <c r="D80"/>
      <c r="E80" s="181" t="s">
        <v>311</v>
      </c>
      <c r="F80" s="4">
        <v>1</v>
      </c>
      <c r="G80" s="4"/>
      <c r="H80">
        <f t="shared" si="7"/>
        <v>1</v>
      </c>
    </row>
    <row r="81" spans="1:8" ht="15">
      <c r="A81" s="181" t="s">
        <v>312</v>
      </c>
      <c r="B81"/>
      <c r="C81"/>
      <c r="D81"/>
      <c r="E81" s="181" t="s">
        <v>312</v>
      </c>
      <c r="F81" s="4">
        <v>1</v>
      </c>
      <c r="G81" s="4"/>
      <c r="H81">
        <f t="shared" si="7"/>
        <v>1</v>
      </c>
    </row>
    <row r="82" spans="1:8" ht="15">
      <c r="A82" s="181" t="s">
        <v>313</v>
      </c>
      <c r="B82"/>
      <c r="C82"/>
      <c r="D82"/>
      <c r="E82" s="181" t="s">
        <v>313</v>
      </c>
      <c r="F82" s="4">
        <v>0</v>
      </c>
      <c r="G82" s="4">
        <v>1</v>
      </c>
      <c r="H82">
        <f t="shared" si="7"/>
        <v>1</v>
      </c>
    </row>
    <row r="83" spans="1:8" ht="15">
      <c r="A83" s="181" t="s">
        <v>314</v>
      </c>
      <c r="B83" s="4"/>
      <c r="C83"/>
      <c r="D83"/>
      <c r="E83" s="181" t="s">
        <v>314</v>
      </c>
      <c r="F83" s="4">
        <v>0</v>
      </c>
      <c r="G83" s="4">
        <v>1</v>
      </c>
      <c r="H83">
        <f t="shared" si="7"/>
        <v>1</v>
      </c>
    </row>
    <row r="84" spans="1:8" ht="15">
      <c r="A84" s="181" t="s">
        <v>44</v>
      </c>
      <c r="B84"/>
      <c r="C84" s="4"/>
      <c r="D84"/>
      <c r="E84"/>
      <c r="F84"/>
      <c r="G84"/>
    </row>
    <row r="85" spans="1:8" ht="15">
      <c r="A85" s="181" t="s">
        <v>45</v>
      </c>
      <c r="B85" s="4"/>
      <c r="C85"/>
      <c r="D85"/>
      <c r="E85"/>
      <c r="F85"/>
      <c r="G85"/>
    </row>
    <row r="86" spans="1:8" ht="15">
      <c r="A86" s="181" t="s">
        <v>46</v>
      </c>
      <c r="B86">
        <v>1</v>
      </c>
      <c r="C86"/>
      <c r="D86"/>
      <c r="E86"/>
      <c r="F86"/>
      <c r="G86"/>
    </row>
    <row r="87" spans="1:8" ht="15">
      <c r="A87" s="181" t="s">
        <v>47</v>
      </c>
      <c r="B87"/>
      <c r="C87"/>
      <c r="D87"/>
      <c r="E87"/>
      <c r="F87"/>
      <c r="G87"/>
    </row>
  </sheetData>
  <mergeCells count="1">
    <mergeCell ref="B1:H1"/>
  </mergeCells>
  <phoneticPr fontId="3" type="noConversion"/>
  <pageMargins left="0.3" right="0.25" top="0.6" bottom="0.25" header="0.3" footer="0.3"/>
  <pageSetup scale="79" orientation="landscape" r:id="rId1"/>
  <headerFooter>
    <oddHeader>&amp;C&amp;"Times New Roman,Bold"Ophthalmology Resident Call/Rounds Presentation/Vacation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June 2026</vt:lpstr>
      <vt:lpstr>'April 2026'!Print_Area</vt:lpstr>
      <vt:lpstr>'August 2025'!Print_Area</vt:lpstr>
      <vt:lpstr>'December 2025'!Print_Area</vt:lpstr>
      <vt:lpstr>'February 2026'!Print_Area</vt:lpstr>
      <vt:lpstr>'January 2026'!Print_Area</vt:lpstr>
      <vt:lpstr>'July 2025'!Print_Area</vt:lpstr>
      <vt:lpstr>'June 2026'!Print_Area</vt:lpstr>
      <vt:lpstr>'March 2026'!Print_Area</vt:lpstr>
      <vt:lpstr>'May 2026'!Print_Area</vt:lpstr>
      <vt:lpstr>'November 2025'!Print_Area</vt:lpstr>
      <vt:lpstr>'October 2025'!Print_Area</vt:lpstr>
      <vt:lpstr>'September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 Broyles</dc:creator>
  <cp:keywords/>
  <dc:description/>
  <cp:lastModifiedBy>Broyles, Pat - (pbroyles)</cp:lastModifiedBy>
  <cp:revision/>
  <cp:lastPrinted>2026-05-13T17:53:51Z</cp:lastPrinted>
  <dcterms:created xsi:type="dcterms:W3CDTF">2010-04-19T23:10:52Z</dcterms:created>
  <dcterms:modified xsi:type="dcterms:W3CDTF">2026-05-13T18:10:51Z</dcterms:modified>
  <cp:category/>
  <cp:contentStatus/>
</cp:coreProperties>
</file>